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 REMOTO 2020-2020\CENTROS INGRESOS 2020\CENTRO DE TECNOLOGIA\CTI 2021\"/>
    </mc:Choice>
  </mc:AlternateContent>
  <bookViews>
    <workbookView xWindow="-120" yWindow="-120" windowWidth="20730" windowHeight="11310" activeTab="4"/>
  </bookViews>
  <sheets>
    <sheet name="2018" sheetId="3" r:id="rId1"/>
    <sheet name="PERIODO 2018 " sheetId="2" r:id="rId2"/>
    <sheet name="PERIODO 2019" sheetId="5" r:id="rId3"/>
    <sheet name="2020" sheetId="1" r:id="rId4"/>
    <sheet name="2021" sheetId="6" r:id="rId5"/>
    <sheet name="Hoja1" sheetId="4" r:id="rId6"/>
  </sheets>
  <externalReferences>
    <externalReference r:id="rId7"/>
    <externalReference r:id="rId8"/>
    <externalReference r:id="rId9"/>
  </externalReferences>
  <calcPr calcId="162913"/>
</workbook>
</file>

<file path=xl/calcChain.xml><?xml version="1.0" encoding="utf-8"?>
<calcChain xmlns="http://schemas.openxmlformats.org/spreadsheetml/2006/main">
  <c r="K318" i="6" l="1"/>
  <c r="L296" i="6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225" i="6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148" i="6"/>
  <c r="L149" i="6" s="1"/>
  <c r="L150" i="6" s="1"/>
  <c r="L151" i="6" s="1"/>
  <c r="L152" i="6" s="1"/>
  <c r="L153" i="6" s="1"/>
  <c r="L154" i="6" s="1"/>
  <c r="L155" i="6" s="1"/>
  <c r="L156" i="6" s="1"/>
  <c r="H74" i="6"/>
  <c r="I7" i="6" l="1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82" i="6"/>
  <c r="I93" i="6" l="1"/>
  <c r="J93" i="6"/>
  <c r="I858" i="1"/>
  <c r="K858" i="1"/>
  <c r="H777" i="1" l="1"/>
  <c r="I130" i="6" l="1"/>
  <c r="J130" i="6"/>
  <c r="I59" i="6"/>
  <c r="J59" i="6"/>
  <c r="I296" i="6"/>
  <c r="J296" i="6"/>
  <c r="I297" i="6"/>
  <c r="J297" i="6"/>
  <c r="I298" i="6"/>
  <c r="J298" i="6"/>
  <c r="K857" i="6"/>
  <c r="H876" i="6" s="1"/>
  <c r="H857" i="6"/>
  <c r="E876" i="6" s="1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K783" i="6"/>
  <c r="H875" i="6" s="1"/>
  <c r="H783" i="6"/>
  <c r="E875" i="6" s="1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K727" i="6"/>
  <c r="H874" i="6" s="1"/>
  <c r="H727" i="6"/>
  <c r="E874" i="6" s="1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I727" i="6" s="1"/>
  <c r="F874" i="6" s="1"/>
  <c r="K662" i="6"/>
  <c r="H873" i="6" s="1"/>
  <c r="H662" i="6"/>
  <c r="E873" i="6" s="1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I662" i="6" s="1"/>
  <c r="F873" i="6" s="1"/>
  <c r="J601" i="6"/>
  <c r="I601" i="6"/>
  <c r="K593" i="6"/>
  <c r="H872" i="6" s="1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K525" i="6"/>
  <c r="H871" i="6" s="1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5" i="6"/>
  <c r="I475" i="6"/>
  <c r="J474" i="6"/>
  <c r="I474" i="6"/>
  <c r="J473" i="6"/>
  <c r="I473" i="6"/>
  <c r="J472" i="6"/>
  <c r="I472" i="6"/>
  <c r="J471" i="6"/>
  <c r="I471" i="6"/>
  <c r="K463" i="6"/>
  <c r="H870" i="6" s="1"/>
  <c r="H463" i="6"/>
  <c r="E870" i="6" s="1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J463" i="6" s="1"/>
  <c r="I390" i="6"/>
  <c r="K382" i="6"/>
  <c r="H869" i="6" s="1"/>
  <c r="H382" i="6"/>
  <c r="E869" i="6" s="1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H868" i="6"/>
  <c r="H318" i="6"/>
  <c r="E868" i="6" s="1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J318" i="6" s="1"/>
  <c r="I251" i="6"/>
  <c r="K243" i="6"/>
  <c r="H867" i="6" s="1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I173" i="6"/>
  <c r="J172" i="6"/>
  <c r="I172" i="6"/>
  <c r="J171" i="6"/>
  <c r="I171" i="6"/>
  <c r="J170" i="6"/>
  <c r="I170" i="6"/>
  <c r="J168" i="6"/>
  <c r="I168" i="6"/>
  <c r="J167" i="6"/>
  <c r="K159" i="6"/>
  <c r="H866" i="6" s="1"/>
  <c r="J131" i="6"/>
  <c r="I131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J100" i="6"/>
  <c r="I100" i="6"/>
  <c r="J99" i="6"/>
  <c r="I99" i="6"/>
  <c r="J98" i="6"/>
  <c r="I98" i="6"/>
  <c r="J97" i="6"/>
  <c r="I97" i="6"/>
  <c r="J96" i="6"/>
  <c r="I96" i="6"/>
  <c r="J95" i="6"/>
  <c r="I95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K74" i="6"/>
  <c r="H865" i="6" s="1"/>
  <c r="E865" i="6"/>
  <c r="J60" i="6"/>
  <c r="I60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74" i="6" l="1"/>
  <c r="G865" i="6" s="1"/>
  <c r="I74" i="6"/>
  <c r="F865" i="6" s="1"/>
  <c r="I318" i="6"/>
  <c r="F868" i="6" s="1"/>
  <c r="I382" i="6"/>
  <c r="F869" i="6" s="1"/>
  <c r="I463" i="6"/>
  <c r="F870" i="6" s="1"/>
  <c r="J662" i="6"/>
  <c r="G873" i="6" s="1"/>
  <c r="H877" i="6"/>
  <c r="G868" i="6"/>
  <c r="I94" i="6"/>
  <c r="I101" i="6"/>
  <c r="H243" i="6"/>
  <c r="E867" i="6" s="1"/>
  <c r="I169" i="6"/>
  <c r="J173" i="6"/>
  <c r="J94" i="6"/>
  <c r="I167" i="6"/>
  <c r="J169" i="6"/>
  <c r="H159" i="6"/>
  <c r="E866" i="6" s="1"/>
  <c r="J382" i="6"/>
  <c r="J539" i="6"/>
  <c r="J593" i="6" s="1"/>
  <c r="H593" i="6"/>
  <c r="E872" i="6" s="1"/>
  <c r="I783" i="6"/>
  <c r="F875" i="6" s="1"/>
  <c r="I857" i="6"/>
  <c r="F876" i="6" s="1"/>
  <c r="I593" i="6"/>
  <c r="F872" i="6" s="1"/>
  <c r="H525" i="6"/>
  <c r="E871" i="6" s="1"/>
  <c r="I476" i="6"/>
  <c r="I525" i="6" s="1"/>
  <c r="F871" i="6" s="1"/>
  <c r="J727" i="6"/>
  <c r="G870" i="6"/>
  <c r="J476" i="6"/>
  <c r="J525" i="6" s="1"/>
  <c r="J783" i="6"/>
  <c r="J857" i="6"/>
  <c r="I50" i="1"/>
  <c r="J50" i="1"/>
  <c r="H74" i="1"/>
  <c r="I243" i="6" l="1"/>
  <c r="F867" i="6" s="1"/>
  <c r="I159" i="6"/>
  <c r="F866" i="6" s="1"/>
  <c r="F877" i="6" s="1"/>
  <c r="E877" i="6"/>
  <c r="G875" i="6"/>
  <c r="G869" i="6"/>
  <c r="J159" i="6"/>
  <c r="J243" i="6"/>
  <c r="G874" i="6"/>
  <c r="G872" i="6"/>
  <c r="G876" i="6"/>
  <c r="G871" i="6"/>
  <c r="I60" i="1"/>
  <c r="J60" i="1"/>
  <c r="J131" i="1"/>
  <c r="I131" i="1"/>
  <c r="J129" i="1"/>
  <c r="I129" i="1"/>
  <c r="J128" i="1"/>
  <c r="I128" i="1"/>
  <c r="J127" i="1"/>
  <c r="I127" i="1"/>
  <c r="G866" i="6" l="1"/>
  <c r="G867" i="6"/>
  <c r="K721" i="1"/>
  <c r="G877" i="6" l="1"/>
  <c r="I558" i="1"/>
  <c r="J558" i="1"/>
  <c r="I559" i="1"/>
  <c r="J559" i="1"/>
  <c r="I560" i="1"/>
  <c r="J560" i="1"/>
  <c r="I561" i="1"/>
  <c r="J561" i="1"/>
  <c r="I562" i="1"/>
  <c r="J562" i="1"/>
  <c r="H533" i="1"/>
  <c r="H532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14" i="1"/>
  <c r="J414" i="1"/>
  <c r="I415" i="1"/>
  <c r="J415" i="1"/>
  <c r="I501" i="1"/>
  <c r="J501" i="1"/>
  <c r="I502" i="1"/>
  <c r="J502" i="1"/>
  <c r="I503" i="1"/>
  <c r="J503" i="1"/>
  <c r="I504" i="1"/>
  <c r="J504" i="1"/>
  <c r="I505" i="1"/>
  <c r="J505" i="1"/>
  <c r="I416" i="1"/>
  <c r="I417" i="1"/>
  <c r="I418" i="1"/>
  <c r="I419" i="1"/>
  <c r="I433" i="1"/>
  <c r="J416" i="1"/>
  <c r="J417" i="1"/>
  <c r="J418" i="1"/>
  <c r="J419" i="1"/>
  <c r="J433" i="1"/>
  <c r="H470" i="1"/>
  <c r="K656" i="1" l="1"/>
  <c r="J57" i="1" l="1"/>
  <c r="J58" i="1"/>
  <c r="I58" i="1"/>
  <c r="I57" i="1" l="1"/>
  <c r="H167" i="1" l="1"/>
  <c r="P167" i="1" s="1"/>
  <c r="H166" i="1"/>
  <c r="P166" i="1" s="1"/>
  <c r="H165" i="1"/>
  <c r="H164" i="1"/>
  <c r="O164" i="1" s="1"/>
  <c r="H163" i="1"/>
  <c r="O163" i="1" s="1"/>
  <c r="H161" i="1"/>
  <c r="K441" i="1" l="1"/>
  <c r="K312" i="1" l="1"/>
  <c r="H101" i="1" l="1"/>
  <c r="M28" i="1"/>
  <c r="M27" i="1"/>
  <c r="M26" i="1"/>
  <c r="M25" i="1"/>
  <c r="M24" i="1"/>
  <c r="M23" i="1"/>
  <c r="M22" i="1"/>
  <c r="M21" i="1"/>
  <c r="M20" i="1"/>
  <c r="M18" i="1"/>
  <c r="M17" i="1"/>
  <c r="M16" i="1"/>
  <c r="M15" i="1"/>
  <c r="M13" i="1"/>
  <c r="M12" i="1"/>
  <c r="M11" i="1"/>
  <c r="M10" i="1"/>
  <c r="M9" i="1"/>
  <c r="M8" i="1"/>
  <c r="M7" i="1"/>
  <c r="M30" i="1"/>
  <c r="M29" i="1"/>
  <c r="M14" i="1"/>
  <c r="E859" i="1"/>
  <c r="M19" i="1" l="1"/>
  <c r="J105" i="1" l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H94" i="1"/>
  <c r="H153" i="1" s="1"/>
  <c r="N93" i="1"/>
  <c r="N101" i="1"/>
  <c r="M104" i="1"/>
  <c r="N104" i="1" s="1"/>
  <c r="M103" i="1"/>
  <c r="N103" i="1" s="1"/>
  <c r="M102" i="1"/>
  <c r="N102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2" i="1"/>
  <c r="N92" i="1" s="1"/>
  <c r="M91" i="1"/>
  <c r="N91" i="1" s="1"/>
  <c r="M89" i="1"/>
  <c r="N89" i="1" s="1"/>
  <c r="M90" i="1"/>
  <c r="N90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M94" i="1" l="1"/>
  <c r="N94" i="1" s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164" i="1" l="1"/>
  <c r="J164" i="1"/>
  <c r="I165" i="1"/>
  <c r="J165" i="1"/>
  <c r="I166" i="1"/>
  <c r="J166" i="1"/>
  <c r="I167" i="1"/>
  <c r="J167" i="1"/>
  <c r="J163" i="1"/>
  <c r="I163" i="1"/>
  <c r="J162" i="1"/>
  <c r="I162" i="1"/>
  <c r="J161" i="1"/>
  <c r="I161" i="1"/>
  <c r="J94" i="1" l="1"/>
  <c r="J95" i="1"/>
  <c r="J96" i="1"/>
  <c r="J97" i="1"/>
  <c r="J98" i="1"/>
  <c r="J99" i="1"/>
  <c r="J100" i="1"/>
  <c r="J101" i="1"/>
  <c r="J102" i="1"/>
  <c r="J103" i="1"/>
  <c r="J104" i="1"/>
  <c r="I94" i="1"/>
  <c r="I95" i="1"/>
  <c r="I96" i="1"/>
  <c r="I97" i="1"/>
  <c r="I98" i="1"/>
  <c r="I99" i="1"/>
  <c r="I100" i="1"/>
  <c r="I101" i="1"/>
  <c r="I102" i="1"/>
  <c r="I103" i="1"/>
  <c r="I104" i="1"/>
  <c r="K153" i="1" l="1"/>
  <c r="K74" i="1" l="1"/>
  <c r="K827" i="5"/>
  <c r="K817" i="5"/>
  <c r="J806" i="5"/>
  <c r="I806" i="5"/>
  <c r="J805" i="5"/>
  <c r="I805" i="5"/>
  <c r="J804" i="5"/>
  <c r="I804" i="5"/>
  <c r="J803" i="5"/>
  <c r="I803" i="5"/>
  <c r="J802" i="5"/>
  <c r="I802" i="5"/>
  <c r="J801" i="5"/>
  <c r="I801" i="5"/>
  <c r="J800" i="5"/>
  <c r="I800" i="5"/>
  <c r="J799" i="5"/>
  <c r="I799" i="5"/>
  <c r="J798" i="5"/>
  <c r="I798" i="5"/>
  <c r="J797" i="5"/>
  <c r="I797" i="5"/>
  <c r="J796" i="5"/>
  <c r="I796" i="5"/>
  <c r="J795" i="5"/>
  <c r="I795" i="5"/>
  <c r="J794" i="5"/>
  <c r="I794" i="5"/>
  <c r="J793" i="5"/>
  <c r="I793" i="5"/>
  <c r="J792" i="5"/>
  <c r="I792" i="5"/>
  <c r="J791" i="5"/>
  <c r="I791" i="5"/>
  <c r="J790" i="5"/>
  <c r="I790" i="5"/>
  <c r="J789" i="5"/>
  <c r="I789" i="5"/>
  <c r="J788" i="5"/>
  <c r="I788" i="5"/>
  <c r="J787" i="5"/>
  <c r="I787" i="5"/>
  <c r="J786" i="5"/>
  <c r="I786" i="5"/>
  <c r="J785" i="5"/>
  <c r="I785" i="5"/>
  <c r="H784" i="5"/>
  <c r="I784" i="5" s="1"/>
  <c r="H783" i="5"/>
  <c r="I783" i="5" s="1"/>
  <c r="H782" i="5"/>
  <c r="I782" i="5" s="1"/>
  <c r="J781" i="5"/>
  <c r="I781" i="5"/>
  <c r="H780" i="5"/>
  <c r="J780" i="5" s="1"/>
  <c r="H779" i="5"/>
  <c r="J779" i="5" s="1"/>
  <c r="J778" i="5"/>
  <c r="I778" i="5"/>
  <c r="J777" i="5"/>
  <c r="I777" i="5"/>
  <c r="J776" i="5"/>
  <c r="I776" i="5"/>
  <c r="J775" i="5"/>
  <c r="I775" i="5"/>
  <c r="J774" i="5"/>
  <c r="I774" i="5"/>
  <c r="J773" i="5"/>
  <c r="I773" i="5"/>
  <c r="H772" i="5"/>
  <c r="J772" i="5" s="1"/>
  <c r="J771" i="5"/>
  <c r="I771" i="5"/>
  <c r="J770" i="5"/>
  <c r="I770" i="5"/>
  <c r="J769" i="5"/>
  <c r="I769" i="5"/>
  <c r="J768" i="5"/>
  <c r="I768" i="5"/>
  <c r="J767" i="5"/>
  <c r="I767" i="5"/>
  <c r="H766" i="5"/>
  <c r="J765" i="5"/>
  <c r="I765" i="5"/>
  <c r="J764" i="5"/>
  <c r="I764" i="5"/>
  <c r="J763" i="5"/>
  <c r="I763" i="5"/>
  <c r="J762" i="5"/>
  <c r="I762" i="5"/>
  <c r="K754" i="5"/>
  <c r="H849" i="5" s="1"/>
  <c r="J733" i="5"/>
  <c r="I733" i="5"/>
  <c r="J732" i="5"/>
  <c r="I732" i="5"/>
  <c r="J731" i="5"/>
  <c r="I731" i="5"/>
  <c r="J730" i="5"/>
  <c r="I730" i="5"/>
  <c r="J729" i="5"/>
  <c r="I729" i="5"/>
  <c r="J728" i="5"/>
  <c r="I728" i="5"/>
  <c r="J727" i="5"/>
  <c r="I727" i="5"/>
  <c r="J726" i="5"/>
  <c r="I726" i="5"/>
  <c r="J725" i="5"/>
  <c r="I725" i="5"/>
  <c r="J724" i="5"/>
  <c r="I724" i="5"/>
  <c r="J723" i="5"/>
  <c r="I723" i="5"/>
  <c r="J722" i="5"/>
  <c r="I722" i="5"/>
  <c r="J721" i="5"/>
  <c r="I721" i="5"/>
  <c r="J720" i="5"/>
  <c r="I720" i="5"/>
  <c r="J719" i="5"/>
  <c r="I719" i="5"/>
  <c r="J718" i="5"/>
  <c r="I718" i="5"/>
  <c r="J717" i="5"/>
  <c r="I717" i="5"/>
  <c r="J716" i="5"/>
  <c r="I716" i="5"/>
  <c r="J715" i="5"/>
  <c r="I715" i="5"/>
  <c r="J714" i="5"/>
  <c r="I714" i="5"/>
  <c r="J713" i="5"/>
  <c r="I713" i="5"/>
  <c r="J712" i="5"/>
  <c r="I712" i="5"/>
  <c r="J711" i="5"/>
  <c r="I711" i="5"/>
  <c r="J710" i="5"/>
  <c r="I710" i="5"/>
  <c r="J709" i="5"/>
  <c r="I709" i="5"/>
  <c r="J708" i="5"/>
  <c r="I708" i="5"/>
  <c r="J707" i="5"/>
  <c r="I707" i="5"/>
  <c r="H706" i="5"/>
  <c r="J706" i="5" s="1"/>
  <c r="J705" i="5"/>
  <c r="I705" i="5"/>
  <c r="J704" i="5"/>
  <c r="I704" i="5"/>
  <c r="J703" i="5"/>
  <c r="I703" i="5"/>
  <c r="J702" i="5"/>
  <c r="I702" i="5"/>
  <c r="K694" i="5"/>
  <c r="H848" i="5" s="1"/>
  <c r="J667" i="5"/>
  <c r="I667" i="5"/>
  <c r="J666" i="5"/>
  <c r="I666" i="5"/>
  <c r="J665" i="5"/>
  <c r="I665" i="5"/>
  <c r="J664" i="5"/>
  <c r="I664" i="5"/>
  <c r="J663" i="5"/>
  <c r="I663" i="5"/>
  <c r="J662" i="5"/>
  <c r="I662" i="5"/>
  <c r="J661" i="5"/>
  <c r="I661" i="5"/>
  <c r="J660" i="5"/>
  <c r="I660" i="5"/>
  <c r="J659" i="5"/>
  <c r="I659" i="5"/>
  <c r="J658" i="5"/>
  <c r="I658" i="5"/>
  <c r="J657" i="5"/>
  <c r="I657" i="5"/>
  <c r="J656" i="5"/>
  <c r="I656" i="5"/>
  <c r="J655" i="5"/>
  <c r="I655" i="5"/>
  <c r="J654" i="5"/>
  <c r="I654" i="5"/>
  <c r="J653" i="5"/>
  <c r="I653" i="5"/>
  <c r="J652" i="5"/>
  <c r="I652" i="5"/>
  <c r="J651" i="5"/>
  <c r="I651" i="5"/>
  <c r="H650" i="5"/>
  <c r="I650" i="5" s="1"/>
  <c r="H649" i="5"/>
  <c r="I649" i="5" s="1"/>
  <c r="H648" i="5"/>
  <c r="I648" i="5" s="1"/>
  <c r="H647" i="5"/>
  <c r="I647" i="5" s="1"/>
  <c r="J646" i="5"/>
  <c r="I646" i="5"/>
  <c r="J645" i="5"/>
  <c r="I645" i="5"/>
  <c r="J644" i="5"/>
  <c r="I644" i="5"/>
  <c r="J643" i="5"/>
  <c r="I643" i="5"/>
  <c r="J642" i="5"/>
  <c r="I642" i="5"/>
  <c r="J641" i="5"/>
  <c r="I641" i="5"/>
  <c r="J640" i="5"/>
  <c r="I640" i="5"/>
  <c r="H639" i="5"/>
  <c r="J639" i="5" s="1"/>
  <c r="J638" i="5"/>
  <c r="I638" i="5"/>
  <c r="H637" i="5"/>
  <c r="J636" i="5"/>
  <c r="I636" i="5"/>
  <c r="K620" i="5"/>
  <c r="K619" i="5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604" i="5"/>
  <c r="I604" i="5"/>
  <c r="J603" i="5"/>
  <c r="I603" i="5"/>
  <c r="J602" i="5"/>
  <c r="I602" i="5"/>
  <c r="J601" i="5"/>
  <c r="I601" i="5"/>
  <c r="J600" i="5"/>
  <c r="I600" i="5"/>
  <c r="J599" i="5"/>
  <c r="I599" i="5"/>
  <c r="J598" i="5"/>
  <c r="I598" i="5"/>
  <c r="J597" i="5"/>
  <c r="I597" i="5"/>
  <c r="J596" i="5"/>
  <c r="I596" i="5"/>
  <c r="J595" i="5"/>
  <c r="I595" i="5"/>
  <c r="J594" i="5"/>
  <c r="I594" i="5"/>
  <c r="J593" i="5"/>
  <c r="I593" i="5"/>
  <c r="J592" i="5"/>
  <c r="I592" i="5"/>
  <c r="J591" i="5"/>
  <c r="I591" i="5"/>
  <c r="J590" i="5"/>
  <c r="I590" i="5"/>
  <c r="J589" i="5"/>
  <c r="I589" i="5"/>
  <c r="J588" i="5"/>
  <c r="I588" i="5"/>
  <c r="H587" i="5"/>
  <c r="I587" i="5" s="1"/>
  <c r="H586" i="5"/>
  <c r="I586" i="5" s="1"/>
  <c r="J585" i="5"/>
  <c r="I585" i="5"/>
  <c r="J584" i="5"/>
  <c r="I584" i="5"/>
  <c r="J583" i="5"/>
  <c r="I583" i="5"/>
  <c r="J582" i="5"/>
  <c r="I582" i="5"/>
  <c r="H581" i="5"/>
  <c r="I581" i="5" s="1"/>
  <c r="H580" i="5"/>
  <c r="I580" i="5" s="1"/>
  <c r="J579" i="5"/>
  <c r="I579" i="5"/>
  <c r="J578" i="5"/>
  <c r="I578" i="5"/>
  <c r="H577" i="5"/>
  <c r="J576" i="5"/>
  <c r="I576" i="5"/>
  <c r="H575" i="5"/>
  <c r="J575" i="5" s="1"/>
  <c r="J574" i="5"/>
  <c r="I574" i="5"/>
  <c r="H573" i="5"/>
  <c r="J572" i="5"/>
  <c r="I572" i="5"/>
  <c r="J571" i="5"/>
  <c r="I571" i="5"/>
  <c r="H570" i="5"/>
  <c r="J570" i="5" s="1"/>
  <c r="J569" i="5"/>
  <c r="I569" i="5"/>
  <c r="J568" i="5"/>
  <c r="I568" i="5"/>
  <c r="J567" i="5"/>
  <c r="I567" i="5"/>
  <c r="K548" i="5"/>
  <c r="K538" i="5"/>
  <c r="K537" i="5"/>
  <c r="K535" i="5"/>
  <c r="K534" i="5"/>
  <c r="J529" i="5"/>
  <c r="I529" i="5"/>
  <c r="J528" i="5"/>
  <c r="I528" i="5"/>
  <c r="J527" i="5"/>
  <c r="I527" i="5"/>
  <c r="J526" i="5"/>
  <c r="I526" i="5"/>
  <c r="J525" i="5"/>
  <c r="I525" i="5"/>
  <c r="J524" i="5"/>
  <c r="I524" i="5"/>
  <c r="J523" i="5"/>
  <c r="I523" i="5"/>
  <c r="J522" i="5"/>
  <c r="I522" i="5"/>
  <c r="J521" i="5"/>
  <c r="I521" i="5"/>
  <c r="J520" i="5"/>
  <c r="I520" i="5"/>
  <c r="J519" i="5"/>
  <c r="I519" i="5"/>
  <c r="J518" i="5"/>
  <c r="I518" i="5"/>
  <c r="J517" i="5"/>
  <c r="I517" i="5"/>
  <c r="J516" i="5"/>
  <c r="I516" i="5"/>
  <c r="J515" i="5"/>
  <c r="I515" i="5"/>
  <c r="J514" i="5"/>
  <c r="I514" i="5"/>
  <c r="J513" i="5"/>
  <c r="I513" i="5"/>
  <c r="J512" i="5"/>
  <c r="I512" i="5"/>
  <c r="J511" i="5"/>
  <c r="I511" i="5"/>
  <c r="J510" i="5"/>
  <c r="I510" i="5"/>
  <c r="J509" i="5"/>
  <c r="I509" i="5"/>
  <c r="H508" i="5"/>
  <c r="J508" i="5" s="1"/>
  <c r="H507" i="5"/>
  <c r="J507" i="5" s="1"/>
  <c r="H506" i="5"/>
  <c r="J506" i="5" s="1"/>
  <c r="H505" i="5"/>
  <c r="J505" i="5" s="1"/>
  <c r="J504" i="5"/>
  <c r="I504" i="5"/>
  <c r="J503" i="5"/>
  <c r="I503" i="5"/>
  <c r="H502" i="5"/>
  <c r="J502" i="5" s="1"/>
  <c r="J501" i="5"/>
  <c r="I501" i="5"/>
  <c r="H500" i="5"/>
  <c r="I500" i="5" s="1"/>
  <c r="H499" i="5"/>
  <c r="I499" i="5" s="1"/>
  <c r="J498" i="5"/>
  <c r="I498" i="5"/>
  <c r="J497" i="5"/>
  <c r="I497" i="5"/>
  <c r="J496" i="5"/>
  <c r="I496" i="5"/>
  <c r="H495" i="5"/>
  <c r="J495" i="5" s="1"/>
  <c r="J494" i="5"/>
  <c r="I494" i="5"/>
  <c r="H493" i="5"/>
  <c r="J492" i="5"/>
  <c r="I492" i="5"/>
  <c r="J491" i="5"/>
  <c r="I491" i="5"/>
  <c r="K483" i="5"/>
  <c r="H845" i="5" s="1"/>
  <c r="J464" i="5"/>
  <c r="I464" i="5"/>
  <c r="J463" i="5"/>
  <c r="I463" i="5"/>
  <c r="J462" i="5"/>
  <c r="I462" i="5"/>
  <c r="J461" i="5"/>
  <c r="I461" i="5"/>
  <c r="J460" i="5"/>
  <c r="I460" i="5"/>
  <c r="J459" i="5"/>
  <c r="I459" i="5"/>
  <c r="J458" i="5"/>
  <c r="I458" i="5"/>
  <c r="J457" i="5"/>
  <c r="I457" i="5"/>
  <c r="J456" i="5"/>
  <c r="I456" i="5"/>
  <c r="J455" i="5"/>
  <c r="I455" i="5"/>
  <c r="J454" i="5"/>
  <c r="I454" i="5"/>
  <c r="J453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H446" i="5"/>
  <c r="J446" i="5" s="1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J438" i="5"/>
  <c r="I438" i="5"/>
  <c r="J437" i="5"/>
  <c r="I437" i="5"/>
  <c r="J436" i="5"/>
  <c r="I436" i="5"/>
  <c r="J435" i="5"/>
  <c r="I435" i="5"/>
  <c r="J434" i="5"/>
  <c r="I434" i="5"/>
  <c r="J433" i="5"/>
  <c r="I433" i="5"/>
  <c r="H432" i="5"/>
  <c r="I432" i="5" s="1"/>
  <c r="J431" i="5"/>
  <c r="I431" i="5"/>
  <c r="H430" i="5"/>
  <c r="J430" i="5" s="1"/>
  <c r="J429" i="5"/>
  <c r="I429" i="5"/>
  <c r="K421" i="5"/>
  <c r="H844" i="5" s="1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8" i="5"/>
  <c r="I388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H379" i="5"/>
  <c r="I379" i="5" s="1"/>
  <c r="J378" i="5"/>
  <c r="I378" i="5"/>
  <c r="J377" i="5"/>
  <c r="I377" i="5"/>
  <c r="J376" i="5"/>
  <c r="I376" i="5"/>
  <c r="J375" i="5"/>
  <c r="I375" i="5"/>
  <c r="J374" i="5"/>
  <c r="I374" i="5"/>
  <c r="J373" i="5"/>
  <c r="I373" i="5"/>
  <c r="H372" i="5"/>
  <c r="I372" i="5" s="1"/>
  <c r="J371" i="5"/>
  <c r="I371" i="5"/>
  <c r="J370" i="5"/>
  <c r="I370" i="5"/>
  <c r="J369" i="5"/>
  <c r="I369" i="5"/>
  <c r="J368" i="5"/>
  <c r="I368" i="5"/>
  <c r="J367" i="5"/>
  <c r="I367" i="5"/>
  <c r="J366" i="5"/>
  <c r="I366" i="5"/>
  <c r="K358" i="5"/>
  <c r="H843" i="5" s="1"/>
  <c r="J340" i="5"/>
  <c r="I340" i="5"/>
  <c r="J339" i="5"/>
  <c r="I339" i="5"/>
  <c r="J338" i="5"/>
  <c r="I338" i="5"/>
  <c r="J337" i="5"/>
  <c r="I337" i="5"/>
  <c r="J336" i="5"/>
  <c r="I336" i="5"/>
  <c r="J335" i="5"/>
  <c r="I335" i="5"/>
  <c r="J334" i="5"/>
  <c r="I334" i="5"/>
  <c r="J333" i="5"/>
  <c r="I333" i="5"/>
  <c r="J332" i="5"/>
  <c r="I332" i="5"/>
  <c r="J331" i="5"/>
  <c r="I331" i="5"/>
  <c r="H330" i="5"/>
  <c r="I330" i="5" s="1"/>
  <c r="J329" i="5"/>
  <c r="I329" i="5"/>
  <c r="J328" i="5"/>
  <c r="I328" i="5"/>
  <c r="J327" i="5"/>
  <c r="I327" i="5"/>
  <c r="H326" i="5"/>
  <c r="J326" i="5" s="1"/>
  <c r="J325" i="5"/>
  <c r="I325" i="5"/>
  <c r="J324" i="5"/>
  <c r="I324" i="5"/>
  <c r="J323" i="5"/>
  <c r="I323" i="5"/>
  <c r="J322" i="5"/>
  <c r="I322" i="5"/>
  <c r="J321" i="5"/>
  <c r="I321" i="5"/>
  <c r="J320" i="5"/>
  <c r="I320" i="5"/>
  <c r="H319" i="5"/>
  <c r="J319" i="5" s="1"/>
  <c r="J318" i="5"/>
  <c r="I318" i="5"/>
  <c r="H317" i="5"/>
  <c r="I317" i="5" s="1"/>
  <c r="J316" i="5"/>
  <c r="I316" i="5"/>
  <c r="J315" i="5"/>
  <c r="I315" i="5"/>
  <c r="J314" i="5"/>
  <c r="I314" i="5"/>
  <c r="H313" i="5"/>
  <c r="J313" i="5" s="1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K294" i="5"/>
  <c r="H842" i="5" s="1"/>
  <c r="J271" i="5"/>
  <c r="I271" i="5"/>
  <c r="J270" i="5"/>
  <c r="I270" i="5"/>
  <c r="J269" i="5"/>
  <c r="I269" i="5"/>
  <c r="J268" i="5"/>
  <c r="I268" i="5"/>
  <c r="H267" i="5"/>
  <c r="J267" i="5" s="1"/>
  <c r="H266" i="5"/>
  <c r="I266" i="5" s="1"/>
  <c r="H265" i="5"/>
  <c r="J265" i="5" s="1"/>
  <c r="J264" i="5"/>
  <c r="I264" i="5"/>
  <c r="J263" i="5"/>
  <c r="I263" i="5"/>
  <c r="J262" i="5"/>
  <c r="I262" i="5"/>
  <c r="J261" i="5"/>
  <c r="I261" i="5"/>
  <c r="H260" i="5"/>
  <c r="I260" i="5" s="1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H249" i="5"/>
  <c r="J249" i="5" s="1"/>
  <c r="H248" i="5"/>
  <c r="J248" i="5" s="1"/>
  <c r="J247" i="5"/>
  <c r="I247" i="5"/>
  <c r="H246" i="5"/>
  <c r="I246" i="5" s="1"/>
  <c r="H245" i="5"/>
  <c r="I245" i="5" s="1"/>
  <c r="H244" i="5"/>
  <c r="I244" i="5" s="1"/>
  <c r="J243" i="5"/>
  <c r="I243" i="5"/>
  <c r="J242" i="5"/>
  <c r="I242" i="5"/>
  <c r="H241" i="5"/>
  <c r="I241" i="5" s="1"/>
  <c r="J240" i="5"/>
  <c r="I240" i="5"/>
  <c r="J239" i="5"/>
  <c r="I239" i="5"/>
  <c r="J238" i="5"/>
  <c r="I238" i="5"/>
  <c r="H237" i="5"/>
  <c r="J237" i="5" s="1"/>
  <c r="H236" i="5"/>
  <c r="J236" i="5" s="1"/>
  <c r="J235" i="5"/>
  <c r="I235" i="5"/>
  <c r="H234" i="5"/>
  <c r="I234" i="5" s="1"/>
  <c r="J233" i="5"/>
  <c r="I233" i="5"/>
  <c r="J232" i="5"/>
  <c r="I232" i="5"/>
  <c r="J231" i="5"/>
  <c r="I231" i="5"/>
  <c r="H230" i="5"/>
  <c r="J230" i="5" s="1"/>
  <c r="J229" i="5"/>
  <c r="I229" i="5"/>
  <c r="J228" i="5"/>
  <c r="I228" i="5"/>
  <c r="J227" i="5"/>
  <c r="I227" i="5"/>
  <c r="K219" i="5"/>
  <c r="H841" i="5" s="1"/>
  <c r="H184" i="5"/>
  <c r="J184" i="5" s="1"/>
  <c r="H183" i="5"/>
  <c r="J183" i="5" s="1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H162" i="5"/>
  <c r="J162" i="5" s="1"/>
  <c r="J161" i="5"/>
  <c r="I161" i="5"/>
  <c r="J160" i="5"/>
  <c r="I160" i="5"/>
  <c r="H159" i="5"/>
  <c r="J159" i="5" s="1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H149" i="5"/>
  <c r="I149" i="5" s="1"/>
  <c r="J148" i="5"/>
  <c r="I148" i="5"/>
  <c r="J147" i="5"/>
  <c r="I147" i="5"/>
  <c r="J146" i="5"/>
  <c r="I146" i="5"/>
  <c r="J145" i="5"/>
  <c r="I145" i="5"/>
  <c r="J144" i="5"/>
  <c r="I144" i="5"/>
  <c r="J143" i="5"/>
  <c r="I143" i="5"/>
  <c r="K125" i="5"/>
  <c r="J115" i="5"/>
  <c r="I115" i="5"/>
  <c r="J114" i="5"/>
  <c r="I114" i="5"/>
  <c r="J113" i="5"/>
  <c r="I113" i="5"/>
  <c r="H112" i="5"/>
  <c r="I112" i="5" s="1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H104" i="5"/>
  <c r="J104" i="5" s="1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H94" i="5"/>
  <c r="I94" i="5" s="1"/>
  <c r="J93" i="5"/>
  <c r="I93" i="5"/>
  <c r="J92" i="5"/>
  <c r="I92" i="5"/>
  <c r="J91" i="5"/>
  <c r="I91" i="5"/>
  <c r="J90" i="5"/>
  <c r="I90" i="5"/>
  <c r="J89" i="5"/>
  <c r="I89" i="5"/>
  <c r="H88" i="5"/>
  <c r="J88" i="5" s="1"/>
  <c r="J87" i="5"/>
  <c r="I87" i="5"/>
  <c r="J86" i="5"/>
  <c r="I86" i="5"/>
  <c r="J85" i="5"/>
  <c r="I85" i="5"/>
  <c r="J84" i="5"/>
  <c r="I84" i="5"/>
  <c r="J83" i="5"/>
  <c r="I83" i="5"/>
  <c r="H82" i="5"/>
  <c r="I82" i="5" s="1"/>
  <c r="J81" i="5"/>
  <c r="I81" i="5"/>
  <c r="H80" i="5"/>
  <c r="J80" i="5" s="1"/>
  <c r="J79" i="5"/>
  <c r="I79" i="5"/>
  <c r="J78" i="5"/>
  <c r="I78" i="5"/>
  <c r="K67" i="5"/>
  <c r="K61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H47" i="5"/>
  <c r="I47" i="5" s="1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H19" i="5"/>
  <c r="J19" i="5" s="1"/>
  <c r="J18" i="5"/>
  <c r="I18" i="5"/>
  <c r="H17" i="5"/>
  <c r="I17" i="5" s="1"/>
  <c r="J16" i="5"/>
  <c r="I16" i="5"/>
  <c r="H15" i="5"/>
  <c r="J15" i="5" s="1"/>
  <c r="H14" i="5"/>
  <c r="J14" i="5" s="1"/>
  <c r="H13" i="5"/>
  <c r="J13" i="5" s="1"/>
  <c r="H12" i="5"/>
  <c r="J12" i="5" s="1"/>
  <c r="H11" i="5"/>
  <c r="J11" i="5" s="1"/>
  <c r="H10" i="5"/>
  <c r="I10" i="5" s="1"/>
  <c r="J9" i="5"/>
  <c r="I9" i="5"/>
  <c r="J8" i="5"/>
  <c r="I8" i="5"/>
  <c r="J7" i="5"/>
  <c r="I7" i="5"/>
  <c r="L6" i="5"/>
  <c r="K851" i="1"/>
  <c r="I825" i="1"/>
  <c r="J825" i="1"/>
  <c r="I807" i="1"/>
  <c r="I824" i="1"/>
  <c r="J824" i="1"/>
  <c r="I822" i="1"/>
  <c r="J822" i="1"/>
  <c r="J805" i="1"/>
  <c r="I821" i="1"/>
  <c r="J821" i="1"/>
  <c r="I820" i="1"/>
  <c r="J820" i="1"/>
  <c r="I817" i="1"/>
  <c r="J817" i="1"/>
  <c r="I816" i="1"/>
  <c r="J816" i="1"/>
  <c r="I815" i="1"/>
  <c r="J815" i="1"/>
  <c r="I814" i="1"/>
  <c r="J814" i="1"/>
  <c r="I813" i="1"/>
  <c r="J813" i="1"/>
  <c r="I812" i="1"/>
  <c r="J812" i="1"/>
  <c r="I811" i="1"/>
  <c r="J811" i="1"/>
  <c r="I810" i="1"/>
  <c r="J810" i="1"/>
  <c r="I809" i="1"/>
  <c r="J809" i="1"/>
  <c r="H851" i="1"/>
  <c r="I808" i="1"/>
  <c r="J808" i="1"/>
  <c r="I756" i="1"/>
  <c r="J756" i="1"/>
  <c r="I755" i="1"/>
  <c r="J755" i="1"/>
  <c r="I754" i="1"/>
  <c r="J754" i="1"/>
  <c r="I753" i="1"/>
  <c r="J753" i="1"/>
  <c r="I752" i="1"/>
  <c r="J752" i="1"/>
  <c r="I751" i="1"/>
  <c r="J751" i="1"/>
  <c r="I750" i="1"/>
  <c r="J750" i="1"/>
  <c r="I749" i="1"/>
  <c r="J749" i="1"/>
  <c r="I695" i="1"/>
  <c r="J695" i="1"/>
  <c r="I694" i="1"/>
  <c r="J694" i="1"/>
  <c r="I693" i="1"/>
  <c r="J693" i="1"/>
  <c r="I692" i="1"/>
  <c r="J692" i="1"/>
  <c r="I691" i="1"/>
  <c r="J691" i="1"/>
  <c r="I690" i="1"/>
  <c r="J690" i="1"/>
  <c r="I689" i="1"/>
  <c r="J689" i="1"/>
  <c r="I688" i="1"/>
  <c r="J688" i="1"/>
  <c r="I639" i="1"/>
  <c r="J639" i="1"/>
  <c r="I638" i="1"/>
  <c r="J638" i="1"/>
  <c r="I637" i="1"/>
  <c r="J637" i="1"/>
  <c r="I636" i="1"/>
  <c r="J636" i="1"/>
  <c r="I635" i="1"/>
  <c r="J635" i="1"/>
  <c r="I634" i="1"/>
  <c r="J634" i="1"/>
  <c r="I633" i="1"/>
  <c r="J633" i="1"/>
  <c r="I570" i="1"/>
  <c r="J570" i="1"/>
  <c r="I569" i="1"/>
  <c r="J569" i="1"/>
  <c r="I568" i="1"/>
  <c r="J568" i="1"/>
  <c r="I500" i="1"/>
  <c r="J500" i="1"/>
  <c r="K457" i="1"/>
  <c r="I413" i="1"/>
  <c r="J413" i="1"/>
  <c r="J803" i="1"/>
  <c r="J804" i="1"/>
  <c r="J807" i="1"/>
  <c r="J818" i="1"/>
  <c r="J819" i="1"/>
  <c r="J823" i="1"/>
  <c r="I804" i="1"/>
  <c r="I806" i="1"/>
  <c r="I818" i="1"/>
  <c r="I819" i="1"/>
  <c r="J266" i="5" l="1"/>
  <c r="J587" i="5"/>
  <c r="I506" i="5"/>
  <c r="L7" i="5"/>
  <c r="K70" i="5"/>
  <c r="H839" i="5" s="1"/>
  <c r="J112" i="5"/>
  <c r="I446" i="5"/>
  <c r="I508" i="5"/>
  <c r="K559" i="5"/>
  <c r="H846" i="5" s="1"/>
  <c r="K628" i="5"/>
  <c r="H847" i="5" s="1"/>
  <c r="J650" i="5"/>
  <c r="J783" i="5"/>
  <c r="I15" i="5"/>
  <c r="J260" i="5"/>
  <c r="I326" i="5"/>
  <c r="J330" i="5"/>
  <c r="J500" i="5"/>
  <c r="I502" i="5"/>
  <c r="J581" i="5"/>
  <c r="J648" i="5"/>
  <c r="I779" i="5"/>
  <c r="I88" i="5"/>
  <c r="I237" i="5"/>
  <c r="J246" i="5"/>
  <c r="I248" i="5"/>
  <c r="I13" i="5"/>
  <c r="J244" i="5"/>
  <c r="L8" i="5"/>
  <c r="L9" i="5" s="1"/>
  <c r="I12" i="5"/>
  <c r="I80" i="5"/>
  <c r="I162" i="5"/>
  <c r="I184" i="5"/>
  <c r="I236" i="5"/>
  <c r="I706" i="5"/>
  <c r="I754" i="5" s="1"/>
  <c r="F849" i="5" s="1"/>
  <c r="I230" i="5"/>
  <c r="J245" i="5"/>
  <c r="I249" i="5"/>
  <c r="I265" i="5"/>
  <c r="I267" i="5"/>
  <c r="I319" i="5"/>
  <c r="I421" i="5"/>
  <c r="F844" i="5" s="1"/>
  <c r="I495" i="5"/>
  <c r="J499" i="5"/>
  <c r="I505" i="5"/>
  <c r="I507" i="5"/>
  <c r="J580" i="5"/>
  <c r="J586" i="5"/>
  <c r="I639" i="5"/>
  <c r="J647" i="5"/>
  <c r="J649" i="5"/>
  <c r="I772" i="5"/>
  <c r="I780" i="5"/>
  <c r="J782" i="5"/>
  <c r="J784" i="5"/>
  <c r="H754" i="5"/>
  <c r="E849" i="5" s="1"/>
  <c r="I14" i="5"/>
  <c r="I430" i="5"/>
  <c r="I483" i="5" s="1"/>
  <c r="F845" i="5" s="1"/>
  <c r="I575" i="5"/>
  <c r="I11" i="5"/>
  <c r="J17" i="5"/>
  <c r="I19" i="5"/>
  <c r="I104" i="5"/>
  <c r="I159" i="5"/>
  <c r="I183" i="5"/>
  <c r="I313" i="5"/>
  <c r="J372" i="5"/>
  <c r="H135" i="5"/>
  <c r="E840" i="5" s="1"/>
  <c r="H219" i="5"/>
  <c r="E841" i="5" s="1"/>
  <c r="H294" i="5"/>
  <c r="E842" i="5" s="1"/>
  <c r="H358" i="5"/>
  <c r="E843" i="5" s="1"/>
  <c r="H421" i="5"/>
  <c r="E844" i="5" s="1"/>
  <c r="H559" i="5"/>
  <c r="E846" i="5" s="1"/>
  <c r="I493" i="5"/>
  <c r="I573" i="5"/>
  <c r="J573" i="5"/>
  <c r="I577" i="5"/>
  <c r="J577" i="5"/>
  <c r="H694" i="5"/>
  <c r="E848" i="5" s="1"/>
  <c r="I637" i="5"/>
  <c r="J637" i="5"/>
  <c r="H70" i="5"/>
  <c r="E839" i="5" s="1"/>
  <c r="J10" i="5"/>
  <c r="J47" i="5"/>
  <c r="J82" i="5"/>
  <c r="J94" i="5"/>
  <c r="K135" i="5"/>
  <c r="H840" i="5" s="1"/>
  <c r="J149" i="5"/>
  <c r="J219" i="5" s="1"/>
  <c r="J234" i="5"/>
  <c r="J241" i="5"/>
  <c r="J317" i="5"/>
  <c r="J379" i="5"/>
  <c r="J432" i="5"/>
  <c r="H483" i="5"/>
  <c r="E845" i="5" s="1"/>
  <c r="J493" i="5"/>
  <c r="J559" i="5" s="1"/>
  <c r="J754" i="5"/>
  <c r="H831" i="5"/>
  <c r="E850" i="5" s="1"/>
  <c r="I766" i="5"/>
  <c r="J766" i="5"/>
  <c r="H628" i="5"/>
  <c r="E847" i="5" s="1"/>
  <c r="I570" i="5"/>
  <c r="K831" i="5"/>
  <c r="H850" i="5" s="1"/>
  <c r="I805" i="1"/>
  <c r="J806" i="1"/>
  <c r="H870" i="1"/>
  <c r="E870" i="1"/>
  <c r="J826" i="1"/>
  <c r="I826" i="1"/>
  <c r="I82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K777" i="1"/>
  <c r="J760" i="1"/>
  <c r="I760" i="1"/>
  <c r="J759" i="1"/>
  <c r="I759" i="1"/>
  <c r="J758" i="1"/>
  <c r="I758" i="1"/>
  <c r="J757" i="1"/>
  <c r="I757" i="1"/>
  <c r="J748" i="1"/>
  <c r="I748" i="1"/>
  <c r="J747" i="1"/>
  <c r="I747" i="1"/>
  <c r="J746" i="1"/>
  <c r="I746" i="1"/>
  <c r="J745" i="1"/>
  <c r="I745" i="1"/>
  <c r="J744" i="1"/>
  <c r="I744" i="1"/>
  <c r="J743" i="1"/>
  <c r="J742" i="1"/>
  <c r="J741" i="1"/>
  <c r="J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I732" i="1"/>
  <c r="J732" i="1"/>
  <c r="J731" i="1"/>
  <c r="I731" i="1"/>
  <c r="J730" i="1"/>
  <c r="J729" i="1"/>
  <c r="I729" i="1"/>
  <c r="I687" i="1"/>
  <c r="J687" i="1"/>
  <c r="I686" i="1"/>
  <c r="J686" i="1"/>
  <c r="I685" i="1"/>
  <c r="J685" i="1"/>
  <c r="I684" i="1"/>
  <c r="J684" i="1"/>
  <c r="I683" i="1"/>
  <c r="J683" i="1"/>
  <c r="I682" i="1"/>
  <c r="J682" i="1"/>
  <c r="I681" i="1"/>
  <c r="J681" i="1"/>
  <c r="I680" i="1"/>
  <c r="J680" i="1"/>
  <c r="I679" i="1"/>
  <c r="J679" i="1"/>
  <c r="I629" i="1"/>
  <c r="J629" i="1"/>
  <c r="I632" i="1"/>
  <c r="J632" i="1"/>
  <c r="I631" i="1"/>
  <c r="J631" i="1"/>
  <c r="I630" i="1"/>
  <c r="J630" i="1"/>
  <c r="I628" i="1"/>
  <c r="J628" i="1"/>
  <c r="I627" i="1"/>
  <c r="J627" i="1"/>
  <c r="J610" i="1"/>
  <c r="J611" i="1"/>
  <c r="I610" i="1"/>
  <c r="I611" i="1"/>
  <c r="I612" i="1"/>
  <c r="I626" i="1"/>
  <c r="J626" i="1"/>
  <c r="I625" i="1"/>
  <c r="J625" i="1"/>
  <c r="I624" i="1"/>
  <c r="J624" i="1"/>
  <c r="I623" i="1"/>
  <c r="J623" i="1"/>
  <c r="I622" i="1"/>
  <c r="J622" i="1"/>
  <c r="I621" i="1"/>
  <c r="J621" i="1"/>
  <c r="I620" i="1"/>
  <c r="J620" i="1"/>
  <c r="I619" i="1"/>
  <c r="J619" i="1"/>
  <c r="I618" i="1"/>
  <c r="J618" i="1"/>
  <c r="I617" i="1"/>
  <c r="J617" i="1"/>
  <c r="I616" i="1"/>
  <c r="J616" i="1"/>
  <c r="I567" i="1"/>
  <c r="J567" i="1"/>
  <c r="I566" i="1"/>
  <c r="J566" i="1"/>
  <c r="I565" i="1"/>
  <c r="J565" i="1"/>
  <c r="I564" i="1"/>
  <c r="J564" i="1"/>
  <c r="I563" i="1"/>
  <c r="J563" i="1"/>
  <c r="J358" i="5" l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J831" i="5"/>
  <c r="I219" i="5"/>
  <c r="F841" i="5" s="1"/>
  <c r="I70" i="5"/>
  <c r="F839" i="5" s="1"/>
  <c r="J135" i="5"/>
  <c r="G840" i="5" s="1"/>
  <c r="J70" i="5"/>
  <c r="G839" i="5" s="1"/>
  <c r="I559" i="5"/>
  <c r="F846" i="5" s="1"/>
  <c r="I358" i="5"/>
  <c r="F843" i="5" s="1"/>
  <c r="J694" i="5"/>
  <c r="G848" i="5" s="1"/>
  <c r="I135" i="5"/>
  <c r="F840" i="5" s="1"/>
  <c r="I294" i="5"/>
  <c r="F842" i="5" s="1"/>
  <c r="I628" i="5"/>
  <c r="F847" i="5" s="1"/>
  <c r="I831" i="5"/>
  <c r="F850" i="5" s="1"/>
  <c r="H851" i="5"/>
  <c r="I694" i="5"/>
  <c r="F848" i="5" s="1"/>
  <c r="J851" i="1"/>
  <c r="G870" i="1" s="1"/>
  <c r="I851" i="1"/>
  <c r="F870" i="1" s="1"/>
  <c r="G843" i="5"/>
  <c r="G841" i="5"/>
  <c r="G850" i="5"/>
  <c r="J628" i="5"/>
  <c r="G846" i="5"/>
  <c r="G849" i="5"/>
  <c r="J483" i="5"/>
  <c r="J421" i="5"/>
  <c r="J294" i="5"/>
  <c r="E851" i="5"/>
  <c r="H656" i="1"/>
  <c r="E867" i="1" s="1"/>
  <c r="H721" i="1"/>
  <c r="E868" i="1" s="1"/>
  <c r="H869" i="1"/>
  <c r="J777" i="1"/>
  <c r="G869" i="1" s="1"/>
  <c r="I730" i="1"/>
  <c r="I740" i="1"/>
  <c r="I741" i="1"/>
  <c r="I742" i="1"/>
  <c r="I743" i="1"/>
  <c r="E869" i="1"/>
  <c r="I557" i="1"/>
  <c r="J557" i="1"/>
  <c r="I556" i="1"/>
  <c r="J556" i="1"/>
  <c r="I555" i="1"/>
  <c r="J555" i="1"/>
  <c r="I554" i="1"/>
  <c r="J554" i="1"/>
  <c r="I553" i="1"/>
  <c r="J553" i="1"/>
  <c r="I552" i="1"/>
  <c r="J552" i="1"/>
  <c r="I551" i="1"/>
  <c r="J551" i="1"/>
  <c r="I550" i="1"/>
  <c r="J550" i="1"/>
  <c r="I549" i="1"/>
  <c r="J549" i="1"/>
  <c r="I548" i="1"/>
  <c r="J548" i="1"/>
  <c r="I547" i="1"/>
  <c r="J547" i="1"/>
  <c r="H868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15" i="1"/>
  <c r="I615" i="1"/>
  <c r="J614" i="1"/>
  <c r="I614" i="1"/>
  <c r="J613" i="1"/>
  <c r="I613" i="1"/>
  <c r="J612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I546" i="1"/>
  <c r="J546" i="1"/>
  <c r="I545" i="1"/>
  <c r="J545" i="1"/>
  <c r="J539" i="1"/>
  <c r="J540" i="1"/>
  <c r="J541" i="1"/>
  <c r="J542" i="1"/>
  <c r="J543" i="1"/>
  <c r="J544" i="1"/>
  <c r="I539" i="1"/>
  <c r="I540" i="1"/>
  <c r="I541" i="1"/>
  <c r="I542" i="1"/>
  <c r="I543" i="1"/>
  <c r="I544" i="1"/>
  <c r="I499" i="1"/>
  <c r="J499" i="1"/>
  <c r="I498" i="1"/>
  <c r="J498" i="1"/>
  <c r="I482" i="1"/>
  <c r="I497" i="1"/>
  <c r="J497" i="1"/>
  <c r="I496" i="1"/>
  <c r="J496" i="1"/>
  <c r="I495" i="1"/>
  <c r="J495" i="1"/>
  <c r="I494" i="1"/>
  <c r="J494" i="1"/>
  <c r="I493" i="1"/>
  <c r="J493" i="1"/>
  <c r="I492" i="1"/>
  <c r="J492" i="1"/>
  <c r="I491" i="1"/>
  <c r="J491" i="1"/>
  <c r="I490" i="1"/>
  <c r="J490" i="1"/>
  <c r="I489" i="1"/>
  <c r="J489" i="1"/>
  <c r="I488" i="1"/>
  <c r="J488" i="1"/>
  <c r="I487" i="1"/>
  <c r="J487" i="1"/>
  <c r="I468" i="1"/>
  <c r="I486" i="1"/>
  <c r="J486" i="1"/>
  <c r="I485" i="1"/>
  <c r="J485" i="1"/>
  <c r="I484" i="1"/>
  <c r="J484" i="1"/>
  <c r="I397" i="1"/>
  <c r="I410" i="1"/>
  <c r="J410" i="1"/>
  <c r="I409" i="1"/>
  <c r="J409" i="1"/>
  <c r="I408" i="1"/>
  <c r="J408" i="1"/>
  <c r="I407" i="1"/>
  <c r="J407" i="1"/>
  <c r="I406" i="1"/>
  <c r="J406" i="1"/>
  <c r="I405" i="1"/>
  <c r="J405" i="1"/>
  <c r="I404" i="1"/>
  <c r="J404" i="1"/>
  <c r="I403" i="1"/>
  <c r="J403" i="1"/>
  <c r="I402" i="1"/>
  <c r="J402" i="1"/>
  <c r="I401" i="1"/>
  <c r="J401" i="1"/>
  <c r="I358" i="1"/>
  <c r="J358" i="1"/>
  <c r="I357" i="1"/>
  <c r="J357" i="1"/>
  <c r="I356" i="1"/>
  <c r="J356" i="1"/>
  <c r="I355" i="1"/>
  <c r="J355" i="1"/>
  <c r="I354" i="1"/>
  <c r="J354" i="1"/>
  <c r="I353" i="1"/>
  <c r="J353" i="1"/>
  <c r="I352" i="1"/>
  <c r="J352" i="1"/>
  <c r="I348" i="1"/>
  <c r="J344" i="1"/>
  <c r="I285" i="1"/>
  <c r="I284" i="1"/>
  <c r="I289" i="1"/>
  <c r="J289" i="1"/>
  <c r="I283" i="1"/>
  <c r="I288" i="1"/>
  <c r="J288" i="1"/>
  <c r="I287" i="1"/>
  <c r="J287" i="1"/>
  <c r="I286" i="1"/>
  <c r="J286" i="1"/>
  <c r="J528" i="1"/>
  <c r="J529" i="1"/>
  <c r="J530" i="1"/>
  <c r="J531" i="1"/>
  <c r="J532" i="1"/>
  <c r="J533" i="1"/>
  <c r="J534" i="1"/>
  <c r="J535" i="1"/>
  <c r="J536" i="1"/>
  <c r="J537" i="1"/>
  <c r="J538" i="1"/>
  <c r="I528" i="1"/>
  <c r="I529" i="1"/>
  <c r="I530" i="1"/>
  <c r="I531" i="1"/>
  <c r="I532" i="1"/>
  <c r="I533" i="1"/>
  <c r="I534" i="1"/>
  <c r="I535" i="1"/>
  <c r="I536" i="1"/>
  <c r="I537" i="1"/>
  <c r="I538" i="1"/>
  <c r="J527" i="1"/>
  <c r="I527" i="1"/>
  <c r="K519" i="1"/>
  <c r="H865" i="1" s="1"/>
  <c r="J477" i="1"/>
  <c r="J478" i="1"/>
  <c r="J479" i="1"/>
  <c r="J480" i="1"/>
  <c r="J481" i="1"/>
  <c r="J482" i="1"/>
  <c r="J483" i="1"/>
  <c r="I477" i="1"/>
  <c r="I478" i="1"/>
  <c r="I479" i="1"/>
  <c r="I480" i="1"/>
  <c r="I481" i="1"/>
  <c r="I483" i="1"/>
  <c r="J469" i="1"/>
  <c r="J467" i="1"/>
  <c r="I474" i="1"/>
  <c r="I475" i="1"/>
  <c r="I476" i="1"/>
  <c r="I465" i="1"/>
  <c r="I467" i="1"/>
  <c r="I469" i="1"/>
  <c r="I470" i="1"/>
  <c r="I471" i="1"/>
  <c r="I472" i="1"/>
  <c r="I473" i="1"/>
  <c r="J470" i="1"/>
  <c r="J471" i="1"/>
  <c r="J472" i="1"/>
  <c r="J473" i="1"/>
  <c r="J474" i="1"/>
  <c r="J475" i="1"/>
  <c r="J476" i="1"/>
  <c r="J465" i="1"/>
  <c r="H864" i="1"/>
  <c r="J384" i="1"/>
  <c r="I384" i="1"/>
  <c r="K376" i="1"/>
  <c r="J412" i="1"/>
  <c r="I412" i="1"/>
  <c r="I411" i="1"/>
  <c r="J400" i="1"/>
  <c r="I400" i="1"/>
  <c r="I399" i="1"/>
  <c r="J399" i="1"/>
  <c r="J398" i="1"/>
  <c r="I398" i="1"/>
  <c r="J396" i="1"/>
  <c r="I396" i="1"/>
  <c r="I395" i="1"/>
  <c r="J394" i="1"/>
  <c r="I394" i="1"/>
  <c r="J393" i="1"/>
  <c r="I393" i="1"/>
  <c r="J392" i="1"/>
  <c r="I392" i="1"/>
  <c r="J391" i="1"/>
  <c r="I391" i="1"/>
  <c r="I390" i="1"/>
  <c r="J389" i="1"/>
  <c r="I389" i="1"/>
  <c r="J388" i="1"/>
  <c r="I388" i="1"/>
  <c r="J387" i="1"/>
  <c r="I387" i="1"/>
  <c r="J386" i="1"/>
  <c r="I386" i="1"/>
  <c r="J385" i="1"/>
  <c r="I385" i="1"/>
  <c r="I351" i="1"/>
  <c r="J351" i="1"/>
  <c r="I350" i="1"/>
  <c r="J350" i="1"/>
  <c r="I349" i="1"/>
  <c r="J349" i="1"/>
  <c r="I347" i="1"/>
  <c r="J347" i="1"/>
  <c r="I346" i="1"/>
  <c r="J346" i="1"/>
  <c r="I345" i="1"/>
  <c r="J345" i="1"/>
  <c r="I344" i="1"/>
  <c r="I343" i="1"/>
  <c r="J343" i="1"/>
  <c r="I342" i="1"/>
  <c r="J342" i="1"/>
  <c r="I341" i="1"/>
  <c r="J341" i="1"/>
  <c r="I278" i="1"/>
  <c r="J284" i="1"/>
  <c r="I282" i="1"/>
  <c r="J282" i="1"/>
  <c r="I281" i="1"/>
  <c r="J281" i="1"/>
  <c r="I280" i="1"/>
  <c r="J280" i="1"/>
  <c r="I279" i="1"/>
  <c r="J279" i="1"/>
  <c r="I277" i="1"/>
  <c r="J277" i="1"/>
  <c r="L71" i="5" l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I721" i="1"/>
  <c r="F868" i="1" s="1"/>
  <c r="F851" i="5"/>
  <c r="J721" i="1"/>
  <c r="G868" i="1" s="1"/>
  <c r="I656" i="1"/>
  <c r="F867" i="1" s="1"/>
  <c r="I587" i="1"/>
  <c r="F866" i="1" s="1"/>
  <c r="J656" i="1"/>
  <c r="G867" i="1" s="1"/>
  <c r="G842" i="5"/>
  <c r="G844" i="5"/>
  <c r="I839" i="5"/>
  <c r="I840" i="5" s="1"/>
  <c r="I841" i="5" s="1"/>
  <c r="G845" i="5"/>
  <c r="G847" i="5"/>
  <c r="K587" i="1"/>
  <c r="H866" i="1" s="1"/>
  <c r="J587" i="1"/>
  <c r="G866" i="1" s="1"/>
  <c r="H457" i="1"/>
  <c r="E864" i="1" s="1"/>
  <c r="I466" i="1"/>
  <c r="I519" i="1" s="1"/>
  <c r="F865" i="1" s="1"/>
  <c r="H519" i="1"/>
  <c r="E865" i="1" s="1"/>
  <c r="H867" i="1"/>
  <c r="H587" i="1"/>
  <c r="E866" i="1" s="1"/>
  <c r="I457" i="1"/>
  <c r="F864" i="1" s="1"/>
  <c r="H376" i="1"/>
  <c r="E863" i="1" s="1"/>
  <c r="I777" i="1"/>
  <c r="F869" i="1" s="1"/>
  <c r="J283" i="1"/>
  <c r="J348" i="1"/>
  <c r="J397" i="1"/>
  <c r="J468" i="1"/>
  <c r="J390" i="1"/>
  <c r="J466" i="1"/>
  <c r="J285" i="1"/>
  <c r="J278" i="1"/>
  <c r="J411" i="1"/>
  <c r="J395" i="1"/>
  <c r="I276" i="1"/>
  <c r="J276" i="1"/>
  <c r="I275" i="1"/>
  <c r="J275" i="1"/>
  <c r="I274" i="1"/>
  <c r="J274" i="1"/>
  <c r="I273" i="1"/>
  <c r="J273" i="1"/>
  <c r="I272" i="1"/>
  <c r="J272" i="1"/>
  <c r="I271" i="1"/>
  <c r="J271" i="1"/>
  <c r="I270" i="1"/>
  <c r="J270" i="1"/>
  <c r="I269" i="1"/>
  <c r="J269" i="1"/>
  <c r="I268" i="1"/>
  <c r="J268" i="1"/>
  <c r="I267" i="1"/>
  <c r="J267" i="1"/>
  <c r="I202" i="1"/>
  <c r="J202" i="1"/>
  <c r="I201" i="1"/>
  <c r="J201" i="1"/>
  <c r="I200" i="1"/>
  <c r="J200" i="1"/>
  <c r="I199" i="1"/>
  <c r="J199" i="1"/>
  <c r="I198" i="1"/>
  <c r="J198" i="1"/>
  <c r="I197" i="1"/>
  <c r="J197" i="1"/>
  <c r="I196" i="1"/>
  <c r="J196" i="1"/>
  <c r="I195" i="1"/>
  <c r="J195" i="1"/>
  <c r="I194" i="1"/>
  <c r="J194" i="1"/>
  <c r="I193" i="1"/>
  <c r="J193" i="1"/>
  <c r="I192" i="1"/>
  <c r="J192" i="1"/>
  <c r="I191" i="1"/>
  <c r="J191" i="1"/>
  <c r="I190" i="1"/>
  <c r="J190" i="1"/>
  <c r="I189" i="1"/>
  <c r="J189" i="1"/>
  <c r="I188" i="1"/>
  <c r="J188" i="1"/>
  <c r="I187" i="1"/>
  <c r="J187" i="1"/>
  <c r="I186" i="1"/>
  <c r="J186" i="1"/>
  <c r="I185" i="1"/>
  <c r="J185" i="1"/>
  <c r="I184" i="1"/>
  <c r="J184" i="1"/>
  <c r="I183" i="1"/>
  <c r="J183" i="1"/>
  <c r="J330" i="1"/>
  <c r="J331" i="1"/>
  <c r="J332" i="1"/>
  <c r="J333" i="1"/>
  <c r="J334" i="1"/>
  <c r="J335" i="1"/>
  <c r="J336" i="1"/>
  <c r="J337" i="1"/>
  <c r="J338" i="1"/>
  <c r="J339" i="1"/>
  <c r="J340" i="1"/>
  <c r="I330" i="1"/>
  <c r="I331" i="1"/>
  <c r="I332" i="1"/>
  <c r="I333" i="1"/>
  <c r="I334" i="1"/>
  <c r="I335" i="1"/>
  <c r="I336" i="1"/>
  <c r="I337" i="1"/>
  <c r="I338" i="1"/>
  <c r="I339" i="1"/>
  <c r="I340" i="1"/>
  <c r="J321" i="1"/>
  <c r="J322" i="1"/>
  <c r="J323" i="1"/>
  <c r="J324" i="1"/>
  <c r="J325" i="1"/>
  <c r="J326" i="1"/>
  <c r="J327" i="1"/>
  <c r="J328" i="1"/>
  <c r="J329" i="1"/>
  <c r="I321" i="1"/>
  <c r="I322" i="1"/>
  <c r="I323" i="1"/>
  <c r="I324" i="1"/>
  <c r="I325" i="1"/>
  <c r="I326" i="1"/>
  <c r="I327" i="1"/>
  <c r="I328" i="1"/>
  <c r="I329" i="1"/>
  <c r="J320" i="1"/>
  <c r="I320" i="1"/>
  <c r="H863" i="1"/>
  <c r="L136" i="5" l="1"/>
  <c r="L142" i="5" s="1"/>
  <c r="I842" i="5"/>
  <c r="I843" i="5" s="1"/>
  <c r="I844" i="5" s="1"/>
  <c r="I845" i="5" s="1"/>
  <c r="I846" i="5" s="1"/>
  <c r="I847" i="5" s="1"/>
  <c r="I848" i="5" s="1"/>
  <c r="I849" i="5" s="1"/>
  <c r="I850" i="5" s="1"/>
  <c r="G851" i="5"/>
  <c r="J519" i="1"/>
  <c r="G865" i="1" s="1"/>
  <c r="J457" i="1"/>
  <c r="G864" i="1" s="1"/>
  <c r="J376" i="1"/>
  <c r="G863" i="1" s="1"/>
  <c r="H237" i="1"/>
  <c r="I376" i="1"/>
  <c r="F863" i="1" s="1"/>
  <c r="H312" i="1"/>
  <c r="E862" i="1" s="1"/>
  <c r="H862" i="1"/>
  <c r="K23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L143" i="5" l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20" i="5"/>
  <c r="L226" i="5" s="1"/>
  <c r="K850" i="5"/>
  <c r="L6" i="1"/>
  <c r="I312" i="1"/>
  <c r="F862" i="1" s="1"/>
  <c r="J312" i="1"/>
  <c r="G862" i="1" s="1"/>
  <c r="I30" i="1"/>
  <c r="J30" i="1"/>
  <c r="J178" i="1"/>
  <c r="J179" i="1"/>
  <c r="J180" i="1"/>
  <c r="J181" i="1"/>
  <c r="J182" i="1"/>
  <c r="I178" i="1"/>
  <c r="I179" i="1"/>
  <c r="I180" i="1"/>
  <c r="I181" i="1"/>
  <c r="I182" i="1"/>
  <c r="J177" i="1"/>
  <c r="I177" i="1"/>
  <c r="L227" i="5" l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5" i="5"/>
  <c r="L301" i="5" s="1"/>
  <c r="J175" i="1"/>
  <c r="J176" i="1"/>
  <c r="I175" i="1"/>
  <c r="I176" i="1"/>
  <c r="L359" i="5" l="1"/>
  <c r="L365" i="5" s="1"/>
  <c r="L302" i="5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H861" i="1"/>
  <c r="E861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92" i="1"/>
  <c r="I92" i="1"/>
  <c r="J83" i="1"/>
  <c r="J84" i="1"/>
  <c r="J85" i="1"/>
  <c r="J86" i="1"/>
  <c r="J87" i="1"/>
  <c r="J88" i="1"/>
  <c r="J89" i="1"/>
  <c r="J90" i="1"/>
  <c r="J91" i="1"/>
  <c r="I83" i="1"/>
  <c r="I84" i="1"/>
  <c r="I85" i="1"/>
  <c r="I86" i="1"/>
  <c r="I87" i="1"/>
  <c r="I88" i="1"/>
  <c r="I89" i="1"/>
  <c r="I90" i="1"/>
  <c r="I91" i="1"/>
  <c r="J82" i="1"/>
  <c r="I82" i="1"/>
  <c r="M779" i="4"/>
  <c r="K801" i="4" s="1"/>
  <c r="M807" i="4"/>
  <c r="J779" i="4"/>
  <c r="G801" i="4" s="1"/>
  <c r="L731" i="4"/>
  <c r="K731" i="4"/>
  <c r="L730" i="4"/>
  <c r="K730" i="4"/>
  <c r="L729" i="4"/>
  <c r="K729" i="4"/>
  <c r="L728" i="4"/>
  <c r="K728" i="4"/>
  <c r="L727" i="4"/>
  <c r="K727" i="4"/>
  <c r="L726" i="4"/>
  <c r="K726" i="4"/>
  <c r="L725" i="4"/>
  <c r="K725" i="4"/>
  <c r="L724" i="4"/>
  <c r="K724" i="4"/>
  <c r="L723" i="4"/>
  <c r="K723" i="4"/>
  <c r="L722" i="4"/>
  <c r="K722" i="4"/>
  <c r="L721" i="4"/>
  <c r="K721" i="4"/>
  <c r="L720" i="4"/>
  <c r="K720" i="4"/>
  <c r="L719" i="4"/>
  <c r="K719" i="4"/>
  <c r="L718" i="4"/>
  <c r="K718" i="4"/>
  <c r="L717" i="4"/>
  <c r="K717" i="4"/>
  <c r="L716" i="4"/>
  <c r="K716" i="4"/>
  <c r="L715" i="4"/>
  <c r="K715" i="4"/>
  <c r="L714" i="4"/>
  <c r="K714" i="4"/>
  <c r="L713" i="4"/>
  <c r="K713" i="4"/>
  <c r="L712" i="4"/>
  <c r="K712" i="4"/>
  <c r="L711" i="4"/>
  <c r="K711" i="4"/>
  <c r="L710" i="4"/>
  <c r="K710" i="4"/>
  <c r="L709" i="4"/>
  <c r="K709" i="4"/>
  <c r="L708" i="4"/>
  <c r="K708" i="4"/>
  <c r="L707" i="4"/>
  <c r="K707" i="4"/>
  <c r="L706" i="4"/>
  <c r="K706" i="4"/>
  <c r="L705" i="4"/>
  <c r="K705" i="4"/>
  <c r="L704" i="4"/>
  <c r="K704" i="4"/>
  <c r="L703" i="4"/>
  <c r="K703" i="4"/>
  <c r="L702" i="4"/>
  <c r="K702" i="4"/>
  <c r="L701" i="4"/>
  <c r="K701" i="4"/>
  <c r="L700" i="4"/>
  <c r="K700" i="4"/>
  <c r="L699" i="4"/>
  <c r="K699" i="4"/>
  <c r="L698" i="4"/>
  <c r="K698" i="4"/>
  <c r="M690" i="4"/>
  <c r="K800" i="4" s="1"/>
  <c r="J690" i="4"/>
  <c r="G800" i="4" s="1"/>
  <c r="L672" i="4"/>
  <c r="L671" i="4"/>
  <c r="L670" i="4"/>
  <c r="L669" i="4"/>
  <c r="L668" i="4"/>
  <c r="L666" i="4"/>
  <c r="K666" i="4"/>
  <c r="L665" i="4"/>
  <c r="K665" i="4"/>
  <c r="L664" i="4"/>
  <c r="K664" i="4"/>
  <c r="L663" i="4"/>
  <c r="K663" i="4"/>
  <c r="L662" i="4"/>
  <c r="K662" i="4"/>
  <c r="L661" i="4"/>
  <c r="K661" i="4"/>
  <c r="L660" i="4"/>
  <c r="K660" i="4"/>
  <c r="L659" i="4"/>
  <c r="K659" i="4"/>
  <c r="L658" i="4"/>
  <c r="K658" i="4"/>
  <c r="L657" i="4"/>
  <c r="K657" i="4"/>
  <c r="L656" i="4"/>
  <c r="K656" i="4"/>
  <c r="L655" i="4"/>
  <c r="K655" i="4"/>
  <c r="L654" i="4"/>
  <c r="K654" i="4"/>
  <c r="L653" i="4"/>
  <c r="K653" i="4"/>
  <c r="L652" i="4"/>
  <c r="K652" i="4"/>
  <c r="L651" i="4"/>
  <c r="K651" i="4"/>
  <c r="L650" i="4"/>
  <c r="K650" i="4"/>
  <c r="L649" i="4"/>
  <c r="K649" i="4"/>
  <c r="L648" i="4"/>
  <c r="K648" i="4"/>
  <c r="L647" i="4"/>
  <c r="K647" i="4"/>
  <c r="L646" i="4"/>
  <c r="K646" i="4"/>
  <c r="L645" i="4"/>
  <c r="K645" i="4"/>
  <c r="L644" i="4"/>
  <c r="K644" i="4"/>
  <c r="L643" i="4"/>
  <c r="K643" i="4"/>
  <c r="L642" i="4"/>
  <c r="K642" i="4"/>
  <c r="L641" i="4"/>
  <c r="K641" i="4"/>
  <c r="L640" i="4"/>
  <c r="K640" i="4"/>
  <c r="L639" i="4"/>
  <c r="K639" i="4"/>
  <c r="L638" i="4"/>
  <c r="K638" i="4"/>
  <c r="L637" i="4"/>
  <c r="K637" i="4"/>
  <c r="L636" i="4"/>
  <c r="K636" i="4"/>
  <c r="M628" i="4"/>
  <c r="K799" i="4" s="1"/>
  <c r="J628" i="4"/>
  <c r="G799" i="4" s="1"/>
  <c r="L614" i="4"/>
  <c r="L609" i="4"/>
  <c r="K609" i="4"/>
  <c r="L608" i="4"/>
  <c r="K608" i="4"/>
  <c r="L607" i="4"/>
  <c r="K607" i="4"/>
  <c r="L606" i="4"/>
  <c r="K606" i="4"/>
  <c r="L605" i="4"/>
  <c r="K605" i="4"/>
  <c r="L604" i="4"/>
  <c r="K604" i="4"/>
  <c r="L603" i="4"/>
  <c r="K603" i="4"/>
  <c r="L602" i="4"/>
  <c r="K602" i="4"/>
  <c r="L601" i="4"/>
  <c r="K601" i="4"/>
  <c r="L600" i="4"/>
  <c r="K600" i="4"/>
  <c r="L599" i="4"/>
  <c r="K599" i="4"/>
  <c r="L598" i="4"/>
  <c r="K598" i="4"/>
  <c r="L597" i="4"/>
  <c r="K597" i="4"/>
  <c r="L596" i="4"/>
  <c r="K596" i="4"/>
  <c r="L595" i="4"/>
  <c r="K595" i="4"/>
  <c r="L594" i="4"/>
  <c r="K594" i="4"/>
  <c r="L593" i="4"/>
  <c r="K593" i="4"/>
  <c r="L592" i="4"/>
  <c r="K592" i="4"/>
  <c r="L591" i="4"/>
  <c r="K591" i="4"/>
  <c r="L590" i="4"/>
  <c r="K590" i="4"/>
  <c r="L589" i="4"/>
  <c r="K589" i="4"/>
  <c r="L588" i="4"/>
  <c r="K588" i="4"/>
  <c r="L587" i="4"/>
  <c r="K587" i="4"/>
  <c r="L586" i="4"/>
  <c r="K586" i="4"/>
  <c r="L585" i="4"/>
  <c r="K585" i="4"/>
  <c r="L584" i="4"/>
  <c r="K584" i="4"/>
  <c r="L583" i="4"/>
  <c r="K583" i="4"/>
  <c r="L582" i="4"/>
  <c r="K582" i="4"/>
  <c r="L581" i="4"/>
  <c r="K581" i="4"/>
  <c r="L580" i="4"/>
  <c r="K580" i="4"/>
  <c r="L579" i="4"/>
  <c r="K579" i="4"/>
  <c r="L578" i="4"/>
  <c r="K578" i="4"/>
  <c r="L577" i="4"/>
  <c r="K577" i="4"/>
  <c r="L576" i="4"/>
  <c r="K576" i="4"/>
  <c r="L575" i="4"/>
  <c r="K575" i="4"/>
  <c r="L574" i="4"/>
  <c r="K574" i="4"/>
  <c r="L573" i="4"/>
  <c r="K573" i="4"/>
  <c r="L572" i="4"/>
  <c r="K572" i="4"/>
  <c r="M564" i="4"/>
  <c r="K798" i="4" s="1"/>
  <c r="J564" i="4"/>
  <c r="G798" i="4" s="1"/>
  <c r="L548" i="4"/>
  <c r="K548" i="4"/>
  <c r="L547" i="4"/>
  <c r="K547" i="4"/>
  <c r="L546" i="4"/>
  <c r="K546" i="4"/>
  <c r="L545" i="4"/>
  <c r="K545" i="4"/>
  <c r="L544" i="4"/>
  <c r="K544" i="4"/>
  <c r="L543" i="4"/>
  <c r="K543" i="4"/>
  <c r="L542" i="4"/>
  <c r="K542" i="4"/>
  <c r="L541" i="4"/>
  <c r="K541" i="4"/>
  <c r="L540" i="4"/>
  <c r="K540" i="4"/>
  <c r="L539" i="4"/>
  <c r="K539" i="4"/>
  <c r="L538" i="4"/>
  <c r="K538" i="4"/>
  <c r="L537" i="4"/>
  <c r="K537" i="4"/>
  <c r="L536" i="4"/>
  <c r="K536" i="4"/>
  <c r="L535" i="4"/>
  <c r="K535" i="4"/>
  <c r="L534" i="4"/>
  <c r="K534" i="4"/>
  <c r="L533" i="4"/>
  <c r="K533" i="4"/>
  <c r="L532" i="4"/>
  <c r="K532" i="4"/>
  <c r="L531" i="4"/>
  <c r="K531" i="4"/>
  <c r="L530" i="4"/>
  <c r="K530" i="4"/>
  <c r="L529" i="4"/>
  <c r="K529" i="4"/>
  <c r="L528" i="4"/>
  <c r="K528" i="4"/>
  <c r="L527" i="4"/>
  <c r="K527" i="4"/>
  <c r="L526" i="4"/>
  <c r="K526" i="4"/>
  <c r="L525" i="4"/>
  <c r="K525" i="4"/>
  <c r="L524" i="4"/>
  <c r="K524" i="4"/>
  <c r="L523" i="4"/>
  <c r="K523" i="4"/>
  <c r="L522" i="4"/>
  <c r="K522" i="4"/>
  <c r="L521" i="4"/>
  <c r="K521" i="4"/>
  <c r="L520" i="4"/>
  <c r="K520" i="4"/>
  <c r="L519" i="4"/>
  <c r="K519" i="4"/>
  <c r="L518" i="4"/>
  <c r="K518" i="4"/>
  <c r="L517" i="4"/>
  <c r="K517" i="4"/>
  <c r="L516" i="4"/>
  <c r="K516" i="4"/>
  <c r="L515" i="4"/>
  <c r="K515" i="4"/>
  <c r="L514" i="4"/>
  <c r="K514" i="4"/>
  <c r="L513" i="4"/>
  <c r="K513" i="4"/>
  <c r="L512" i="4"/>
  <c r="K512" i="4"/>
  <c r="L511" i="4"/>
  <c r="K511" i="4"/>
  <c r="L510" i="4"/>
  <c r="K510" i="4"/>
  <c r="M501" i="4"/>
  <c r="K797" i="4" s="1"/>
  <c r="J501" i="4"/>
  <c r="G797" i="4" s="1"/>
  <c r="L482" i="4"/>
  <c r="K482" i="4"/>
  <c r="L481" i="4"/>
  <c r="K481" i="4"/>
  <c r="L480" i="4"/>
  <c r="K480" i="4"/>
  <c r="L479" i="4"/>
  <c r="K479" i="4"/>
  <c r="L478" i="4"/>
  <c r="K478" i="4"/>
  <c r="L477" i="4"/>
  <c r="K477" i="4"/>
  <c r="L476" i="4"/>
  <c r="K476" i="4"/>
  <c r="L475" i="4"/>
  <c r="K475" i="4"/>
  <c r="L474" i="4"/>
  <c r="K474" i="4"/>
  <c r="L473" i="4"/>
  <c r="K473" i="4"/>
  <c r="L472" i="4"/>
  <c r="K472" i="4"/>
  <c r="L471" i="4"/>
  <c r="K471" i="4"/>
  <c r="L470" i="4"/>
  <c r="K470" i="4"/>
  <c r="L469" i="4"/>
  <c r="K469" i="4"/>
  <c r="L468" i="4"/>
  <c r="K468" i="4"/>
  <c r="L467" i="4"/>
  <c r="K467" i="4"/>
  <c r="L466" i="4"/>
  <c r="K466" i="4"/>
  <c r="L465" i="4"/>
  <c r="K465" i="4"/>
  <c r="L464" i="4"/>
  <c r="K464" i="4"/>
  <c r="L463" i="4"/>
  <c r="K463" i="4"/>
  <c r="L462" i="4"/>
  <c r="K462" i="4"/>
  <c r="L461" i="4"/>
  <c r="K461" i="4"/>
  <c r="L460" i="4"/>
  <c r="K460" i="4"/>
  <c r="L459" i="4"/>
  <c r="K459" i="4"/>
  <c r="L458" i="4"/>
  <c r="K458" i="4"/>
  <c r="L457" i="4"/>
  <c r="K457" i="4"/>
  <c r="L456" i="4"/>
  <c r="K456" i="4"/>
  <c r="L455" i="4"/>
  <c r="K455" i="4"/>
  <c r="L454" i="4"/>
  <c r="K454" i="4"/>
  <c r="L453" i="4"/>
  <c r="K453" i="4"/>
  <c r="L452" i="4"/>
  <c r="K452" i="4"/>
  <c r="L451" i="4"/>
  <c r="K451" i="4"/>
  <c r="L450" i="4"/>
  <c r="K450" i="4"/>
  <c r="L449" i="4"/>
  <c r="K449" i="4"/>
  <c r="L448" i="4"/>
  <c r="K448" i="4"/>
  <c r="L447" i="4"/>
  <c r="K447" i="4"/>
  <c r="L446" i="4"/>
  <c r="K446" i="4"/>
  <c r="L445" i="4"/>
  <c r="K445" i="4"/>
  <c r="L444" i="4"/>
  <c r="K444" i="4"/>
  <c r="L443" i="4"/>
  <c r="K443" i="4"/>
  <c r="L442" i="4"/>
  <c r="K442" i="4"/>
  <c r="L441" i="4"/>
  <c r="K441" i="4"/>
  <c r="L440" i="4"/>
  <c r="K440" i="4"/>
  <c r="M432" i="4"/>
  <c r="K796" i="4" s="1"/>
  <c r="L419" i="4"/>
  <c r="K419" i="4"/>
  <c r="L418" i="4"/>
  <c r="K418" i="4"/>
  <c r="L417" i="4"/>
  <c r="K417" i="4"/>
  <c r="L416" i="4"/>
  <c r="K416" i="4"/>
  <c r="L415" i="4"/>
  <c r="K415" i="4"/>
  <c r="L414" i="4"/>
  <c r="K414" i="4"/>
  <c r="L413" i="4"/>
  <c r="K413" i="4"/>
  <c r="L412" i="4"/>
  <c r="K412" i="4"/>
  <c r="L411" i="4"/>
  <c r="K411" i="4"/>
  <c r="L410" i="4"/>
  <c r="K410" i="4"/>
  <c r="L409" i="4"/>
  <c r="K409" i="4"/>
  <c r="L408" i="4"/>
  <c r="K408" i="4"/>
  <c r="L407" i="4"/>
  <c r="K407" i="4"/>
  <c r="L406" i="4"/>
  <c r="K406" i="4"/>
  <c r="L405" i="4"/>
  <c r="K405" i="4"/>
  <c r="L404" i="4"/>
  <c r="K404" i="4"/>
  <c r="J403" i="4"/>
  <c r="K403" i="4" s="1"/>
  <c r="L402" i="4"/>
  <c r="K402" i="4"/>
  <c r="L401" i="4"/>
  <c r="K401" i="4"/>
  <c r="L400" i="4"/>
  <c r="K400" i="4"/>
  <c r="L399" i="4"/>
  <c r="K399" i="4"/>
  <c r="L398" i="4"/>
  <c r="K398" i="4"/>
  <c r="L397" i="4"/>
  <c r="K397" i="4"/>
  <c r="L396" i="4"/>
  <c r="K396" i="4"/>
  <c r="L395" i="4"/>
  <c r="K395" i="4"/>
  <c r="L394" i="4"/>
  <c r="K394" i="4"/>
  <c r="J393" i="4"/>
  <c r="M385" i="4"/>
  <c r="K795" i="4" s="1"/>
  <c r="I376" i="4"/>
  <c r="L374" i="4"/>
  <c r="K374" i="4"/>
  <c r="L373" i="4"/>
  <c r="K373" i="4"/>
  <c r="L372" i="4"/>
  <c r="K372" i="4"/>
  <c r="L371" i="4"/>
  <c r="K371" i="4"/>
  <c r="L370" i="4"/>
  <c r="K370" i="4"/>
  <c r="L369" i="4"/>
  <c r="K369" i="4"/>
  <c r="L368" i="4"/>
  <c r="K368" i="4"/>
  <c r="L367" i="4"/>
  <c r="K367" i="4"/>
  <c r="L366" i="4"/>
  <c r="K366" i="4"/>
  <c r="L365" i="4"/>
  <c r="K365" i="4"/>
  <c r="L364" i="4"/>
  <c r="K364" i="4"/>
  <c r="L363" i="4"/>
  <c r="K363" i="4"/>
  <c r="L362" i="4"/>
  <c r="K362" i="4"/>
  <c r="L361" i="4"/>
  <c r="K361" i="4"/>
  <c r="L360" i="4"/>
  <c r="K360" i="4"/>
  <c r="L359" i="4"/>
  <c r="K359" i="4"/>
  <c r="L358" i="4"/>
  <c r="K358" i="4"/>
  <c r="L357" i="4"/>
  <c r="K357" i="4"/>
  <c r="L356" i="4"/>
  <c r="K356" i="4"/>
  <c r="J355" i="4"/>
  <c r="J385" i="4" s="1"/>
  <c r="G795" i="4" s="1"/>
  <c r="L354" i="4"/>
  <c r="K354" i="4"/>
  <c r="L353" i="4"/>
  <c r="K353" i="4"/>
  <c r="L352" i="4"/>
  <c r="K352" i="4"/>
  <c r="L351" i="4"/>
  <c r="K351" i="4"/>
  <c r="L350" i="4"/>
  <c r="K350" i="4"/>
  <c r="M342" i="4"/>
  <c r="K794" i="4" s="1"/>
  <c r="J342" i="4"/>
  <c r="G794" i="4" s="1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M289" i="4"/>
  <c r="K793" i="4" s="1"/>
  <c r="J289" i="4"/>
  <c r="G793" i="4" s="1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M217" i="4"/>
  <c r="K792" i="4" s="1"/>
  <c r="J217" i="4"/>
  <c r="G792" i="4" s="1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M159" i="4"/>
  <c r="K791" i="4" s="1"/>
  <c r="J159" i="4"/>
  <c r="G791" i="4" s="1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M86" i="4"/>
  <c r="K790" i="4" s="1"/>
  <c r="J86" i="4"/>
  <c r="G790" i="4" s="1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N5" i="4"/>
  <c r="L432" i="3"/>
  <c r="L787" i="3"/>
  <c r="L759" i="3"/>
  <c r="J781" i="3" s="1"/>
  <c r="I759" i="3"/>
  <c r="G781" i="3" s="1"/>
  <c r="K731" i="3"/>
  <c r="J731" i="3"/>
  <c r="K730" i="3"/>
  <c r="J730" i="3"/>
  <c r="K729" i="3"/>
  <c r="J729" i="3"/>
  <c r="K728" i="3"/>
  <c r="J728" i="3"/>
  <c r="K727" i="3"/>
  <c r="J727" i="3"/>
  <c r="K726" i="3"/>
  <c r="J726" i="3"/>
  <c r="K725" i="3"/>
  <c r="J725" i="3"/>
  <c r="K724" i="3"/>
  <c r="J724" i="3"/>
  <c r="K723" i="3"/>
  <c r="J723" i="3"/>
  <c r="K722" i="3"/>
  <c r="J722" i="3"/>
  <c r="K721" i="3"/>
  <c r="J721" i="3"/>
  <c r="K720" i="3"/>
  <c r="J720" i="3"/>
  <c r="K719" i="3"/>
  <c r="J719" i="3"/>
  <c r="K718" i="3"/>
  <c r="J718" i="3"/>
  <c r="K717" i="3"/>
  <c r="J717" i="3"/>
  <c r="K716" i="3"/>
  <c r="J716" i="3"/>
  <c r="K715" i="3"/>
  <c r="J715" i="3"/>
  <c r="K714" i="3"/>
  <c r="J714" i="3"/>
  <c r="K713" i="3"/>
  <c r="J713" i="3"/>
  <c r="K712" i="3"/>
  <c r="J712" i="3"/>
  <c r="K711" i="3"/>
  <c r="J711" i="3"/>
  <c r="K710" i="3"/>
  <c r="J710" i="3"/>
  <c r="K709" i="3"/>
  <c r="J709" i="3"/>
  <c r="K708" i="3"/>
  <c r="J708" i="3"/>
  <c r="K707" i="3"/>
  <c r="J707" i="3"/>
  <c r="K706" i="3"/>
  <c r="J706" i="3"/>
  <c r="K705" i="3"/>
  <c r="J705" i="3"/>
  <c r="K704" i="3"/>
  <c r="J704" i="3"/>
  <c r="K703" i="3"/>
  <c r="J703" i="3"/>
  <c r="K702" i="3"/>
  <c r="J702" i="3"/>
  <c r="K701" i="3"/>
  <c r="J701" i="3"/>
  <c r="K700" i="3"/>
  <c r="J700" i="3"/>
  <c r="K699" i="3"/>
  <c r="J699" i="3"/>
  <c r="K698" i="3"/>
  <c r="J698" i="3"/>
  <c r="L690" i="3"/>
  <c r="J780" i="3" s="1"/>
  <c r="I690" i="3"/>
  <c r="G780" i="3" s="1"/>
  <c r="K672" i="3"/>
  <c r="K671" i="3"/>
  <c r="K670" i="3"/>
  <c r="K669" i="3"/>
  <c r="K668" i="3"/>
  <c r="K666" i="3"/>
  <c r="J666" i="3"/>
  <c r="K665" i="3"/>
  <c r="J665" i="3"/>
  <c r="K664" i="3"/>
  <c r="J664" i="3"/>
  <c r="K663" i="3"/>
  <c r="J663" i="3"/>
  <c r="K662" i="3"/>
  <c r="J662" i="3"/>
  <c r="K661" i="3"/>
  <c r="J661" i="3"/>
  <c r="K660" i="3"/>
  <c r="J660" i="3"/>
  <c r="K659" i="3"/>
  <c r="J659" i="3"/>
  <c r="K658" i="3"/>
  <c r="J658" i="3"/>
  <c r="K657" i="3"/>
  <c r="J657" i="3"/>
  <c r="K656" i="3"/>
  <c r="J656" i="3"/>
  <c r="K655" i="3"/>
  <c r="J655" i="3"/>
  <c r="K654" i="3"/>
  <c r="J654" i="3"/>
  <c r="K653" i="3"/>
  <c r="J653" i="3"/>
  <c r="K652" i="3"/>
  <c r="J652" i="3"/>
  <c r="K651" i="3"/>
  <c r="J651" i="3"/>
  <c r="K650" i="3"/>
  <c r="J650" i="3"/>
  <c r="K649" i="3"/>
  <c r="J649" i="3"/>
  <c r="K648" i="3"/>
  <c r="J648" i="3"/>
  <c r="K647" i="3"/>
  <c r="J647" i="3"/>
  <c r="K646" i="3"/>
  <c r="J646" i="3"/>
  <c r="K645" i="3"/>
  <c r="J645" i="3"/>
  <c r="K644" i="3"/>
  <c r="J644" i="3"/>
  <c r="K643" i="3"/>
  <c r="J643" i="3"/>
  <c r="K642" i="3"/>
  <c r="J642" i="3"/>
  <c r="K641" i="3"/>
  <c r="J641" i="3"/>
  <c r="K640" i="3"/>
  <c r="J640" i="3"/>
  <c r="K639" i="3"/>
  <c r="J639" i="3"/>
  <c r="K638" i="3"/>
  <c r="J638" i="3"/>
  <c r="K637" i="3"/>
  <c r="J637" i="3"/>
  <c r="K636" i="3"/>
  <c r="J636" i="3"/>
  <c r="L628" i="3"/>
  <c r="J779" i="3" s="1"/>
  <c r="I628" i="3"/>
  <c r="G779" i="3" s="1"/>
  <c r="K614" i="3"/>
  <c r="K609" i="3"/>
  <c r="J609" i="3"/>
  <c r="K608" i="3"/>
  <c r="J608" i="3"/>
  <c r="K607" i="3"/>
  <c r="J607" i="3"/>
  <c r="K606" i="3"/>
  <c r="J606" i="3"/>
  <c r="K605" i="3"/>
  <c r="J605" i="3"/>
  <c r="K604" i="3"/>
  <c r="J604" i="3"/>
  <c r="K603" i="3"/>
  <c r="J603" i="3"/>
  <c r="K602" i="3"/>
  <c r="J602" i="3"/>
  <c r="K601" i="3"/>
  <c r="J601" i="3"/>
  <c r="K600" i="3"/>
  <c r="J600" i="3"/>
  <c r="K599" i="3"/>
  <c r="J599" i="3"/>
  <c r="K598" i="3"/>
  <c r="J598" i="3"/>
  <c r="K597" i="3"/>
  <c r="J597" i="3"/>
  <c r="K596" i="3"/>
  <c r="J596" i="3"/>
  <c r="K595" i="3"/>
  <c r="J595" i="3"/>
  <c r="K594" i="3"/>
  <c r="J594" i="3"/>
  <c r="K593" i="3"/>
  <c r="J593" i="3"/>
  <c r="K592" i="3"/>
  <c r="J592" i="3"/>
  <c r="K591" i="3"/>
  <c r="J591" i="3"/>
  <c r="K590" i="3"/>
  <c r="J590" i="3"/>
  <c r="K589" i="3"/>
  <c r="J589" i="3"/>
  <c r="K588" i="3"/>
  <c r="J588" i="3"/>
  <c r="K587" i="3"/>
  <c r="J587" i="3"/>
  <c r="K586" i="3"/>
  <c r="J586" i="3"/>
  <c r="K585" i="3"/>
  <c r="J585" i="3"/>
  <c r="K584" i="3"/>
  <c r="J584" i="3"/>
  <c r="K583" i="3"/>
  <c r="J583" i="3"/>
  <c r="K582" i="3"/>
  <c r="J582" i="3"/>
  <c r="K581" i="3"/>
  <c r="J581" i="3"/>
  <c r="K580" i="3"/>
  <c r="J580" i="3"/>
  <c r="K579" i="3"/>
  <c r="J579" i="3"/>
  <c r="K578" i="3"/>
  <c r="J578" i="3"/>
  <c r="K577" i="3"/>
  <c r="J577" i="3"/>
  <c r="K576" i="3"/>
  <c r="J576" i="3"/>
  <c r="K575" i="3"/>
  <c r="J575" i="3"/>
  <c r="K574" i="3"/>
  <c r="J574" i="3"/>
  <c r="K573" i="3"/>
  <c r="J573" i="3"/>
  <c r="K572" i="3"/>
  <c r="J572" i="3"/>
  <c r="L564" i="3"/>
  <c r="J778" i="3" s="1"/>
  <c r="I564" i="3"/>
  <c r="G778" i="3" s="1"/>
  <c r="K548" i="3"/>
  <c r="J548" i="3"/>
  <c r="K547" i="3"/>
  <c r="J547" i="3"/>
  <c r="K546" i="3"/>
  <c r="J546" i="3"/>
  <c r="K545" i="3"/>
  <c r="J545" i="3"/>
  <c r="K544" i="3"/>
  <c r="J544" i="3"/>
  <c r="K543" i="3"/>
  <c r="J543" i="3"/>
  <c r="K542" i="3"/>
  <c r="J542" i="3"/>
  <c r="K541" i="3"/>
  <c r="J541" i="3"/>
  <c r="K540" i="3"/>
  <c r="J540" i="3"/>
  <c r="K539" i="3"/>
  <c r="J539" i="3"/>
  <c r="K538" i="3"/>
  <c r="J538" i="3"/>
  <c r="K537" i="3"/>
  <c r="J537" i="3"/>
  <c r="K536" i="3"/>
  <c r="J536" i="3"/>
  <c r="K535" i="3"/>
  <c r="J535" i="3"/>
  <c r="K534" i="3"/>
  <c r="J534" i="3"/>
  <c r="K533" i="3"/>
  <c r="J533" i="3"/>
  <c r="K532" i="3"/>
  <c r="J532" i="3"/>
  <c r="K531" i="3"/>
  <c r="J531" i="3"/>
  <c r="K530" i="3"/>
  <c r="J530" i="3"/>
  <c r="K529" i="3"/>
  <c r="J529" i="3"/>
  <c r="K528" i="3"/>
  <c r="J528" i="3"/>
  <c r="K527" i="3"/>
  <c r="J527" i="3"/>
  <c r="K526" i="3"/>
  <c r="J526" i="3"/>
  <c r="K525" i="3"/>
  <c r="J525" i="3"/>
  <c r="K524" i="3"/>
  <c r="J524" i="3"/>
  <c r="K523" i="3"/>
  <c r="J523" i="3"/>
  <c r="K522" i="3"/>
  <c r="J522" i="3"/>
  <c r="K521" i="3"/>
  <c r="J521" i="3"/>
  <c r="K520" i="3"/>
  <c r="J520" i="3"/>
  <c r="K519" i="3"/>
  <c r="J519" i="3"/>
  <c r="K518" i="3"/>
  <c r="J518" i="3"/>
  <c r="K517" i="3"/>
  <c r="J517" i="3"/>
  <c r="K516" i="3"/>
  <c r="J516" i="3"/>
  <c r="K515" i="3"/>
  <c r="J515" i="3"/>
  <c r="K514" i="3"/>
  <c r="J514" i="3"/>
  <c r="K513" i="3"/>
  <c r="J513" i="3"/>
  <c r="K512" i="3"/>
  <c r="J512" i="3"/>
  <c r="K511" i="3"/>
  <c r="J511" i="3"/>
  <c r="K510" i="3"/>
  <c r="J510" i="3"/>
  <c r="L501" i="3"/>
  <c r="J777" i="3" s="1"/>
  <c r="I501" i="3"/>
  <c r="G777" i="3" s="1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J776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I403" i="3"/>
  <c r="K403" i="3" s="1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I393" i="3"/>
  <c r="J393" i="3" s="1"/>
  <c r="L376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I355" i="3"/>
  <c r="J355" i="3" s="1"/>
  <c r="K354" i="3"/>
  <c r="J354" i="3"/>
  <c r="K353" i="3"/>
  <c r="J353" i="3"/>
  <c r="K352" i="3"/>
  <c r="J352" i="3"/>
  <c r="K351" i="3"/>
  <c r="J351" i="3"/>
  <c r="K350" i="3"/>
  <c r="J350" i="3"/>
  <c r="L342" i="3"/>
  <c r="J774" i="3" s="1"/>
  <c r="I342" i="3"/>
  <c r="G774" i="3" s="1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L289" i="3"/>
  <c r="J773" i="3" s="1"/>
  <c r="I289" i="3"/>
  <c r="G773" i="3" s="1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L217" i="3"/>
  <c r="J772" i="3" s="1"/>
  <c r="I217" i="3"/>
  <c r="G772" i="3" s="1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L159" i="3"/>
  <c r="J771" i="3" s="1"/>
  <c r="I159" i="3"/>
  <c r="G771" i="3" s="1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L86" i="3"/>
  <c r="J770" i="3" s="1"/>
  <c r="I86" i="3"/>
  <c r="G770" i="3" s="1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L422" i="5" l="1"/>
  <c r="L428" i="5" s="1"/>
  <c r="L366" i="5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J237" i="1"/>
  <c r="G861" i="1" s="1"/>
  <c r="J86" i="3"/>
  <c r="H770" i="3" s="1"/>
  <c r="J289" i="3"/>
  <c r="H773" i="3" s="1"/>
  <c r="L289" i="4"/>
  <c r="I237" i="1"/>
  <c r="F861" i="1" s="1"/>
  <c r="I153" i="1"/>
  <c r="J153" i="1"/>
  <c r="I432" i="3"/>
  <c r="G776" i="3" s="1"/>
  <c r="K159" i="4"/>
  <c r="H791" i="4" s="1"/>
  <c r="K289" i="3"/>
  <c r="I773" i="3" s="1"/>
  <c r="K393" i="3"/>
  <c r="K432" i="3" s="1"/>
  <c r="I776" i="3" s="1"/>
  <c r="J403" i="3"/>
  <c r="J432" i="3" s="1"/>
  <c r="H776" i="3" s="1"/>
  <c r="K759" i="3"/>
  <c r="L564" i="4"/>
  <c r="J798" i="4" s="1"/>
  <c r="L628" i="4"/>
  <c r="J799" i="4" s="1"/>
  <c r="L779" i="4"/>
  <c r="J217" i="3"/>
  <c r="H772" i="3" s="1"/>
  <c r="K690" i="4"/>
  <c r="H800" i="4" s="1"/>
  <c r="J432" i="4"/>
  <c r="G796" i="4" s="1"/>
  <c r="G802" i="4" s="1"/>
  <c r="J159" i="3"/>
  <c r="H771" i="3" s="1"/>
  <c r="K355" i="3"/>
  <c r="K385" i="3" s="1"/>
  <c r="I385" i="3"/>
  <c r="G775" i="3" s="1"/>
  <c r="K564" i="3"/>
  <c r="I778" i="3" s="1"/>
  <c r="K628" i="3"/>
  <c r="J690" i="3"/>
  <c r="H780" i="3" s="1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K779" i="4"/>
  <c r="H801" i="4" s="1"/>
  <c r="L217" i="4"/>
  <c r="J792" i="4" s="1"/>
  <c r="K86" i="3"/>
  <c r="M87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K217" i="3"/>
  <c r="I772" i="3" s="1"/>
  <c r="K159" i="3"/>
  <c r="J342" i="3"/>
  <c r="H774" i="3" s="1"/>
  <c r="J501" i="3"/>
  <c r="H777" i="3" s="1"/>
  <c r="J564" i="3"/>
  <c r="H778" i="3" s="1"/>
  <c r="J628" i="3"/>
  <c r="H779" i="3" s="1"/>
  <c r="K690" i="3"/>
  <c r="I780" i="3" s="1"/>
  <c r="J759" i="3"/>
  <c r="H781" i="3" s="1"/>
  <c r="K86" i="4"/>
  <c r="H790" i="4" s="1"/>
  <c r="K217" i="4"/>
  <c r="H792" i="4" s="1"/>
  <c r="L86" i="4"/>
  <c r="J790" i="4" s="1"/>
  <c r="K355" i="4"/>
  <c r="K385" i="4" s="1"/>
  <c r="H795" i="4" s="1"/>
  <c r="K393" i="4"/>
  <c r="K432" i="4" s="1"/>
  <c r="H796" i="4" s="1"/>
  <c r="L403" i="4"/>
  <c r="K501" i="4"/>
  <c r="H797" i="4" s="1"/>
  <c r="K564" i="4"/>
  <c r="H798" i="4" s="1"/>
  <c r="K628" i="4"/>
  <c r="H799" i="4" s="1"/>
  <c r="L159" i="4"/>
  <c r="J793" i="4"/>
  <c r="L501" i="4"/>
  <c r="K802" i="4"/>
  <c r="K807" i="4" s="1"/>
  <c r="K289" i="4"/>
  <c r="H793" i="4" s="1"/>
  <c r="K342" i="4"/>
  <c r="H794" i="4" s="1"/>
  <c r="L342" i="4"/>
  <c r="L690" i="4"/>
  <c r="L355" i="4"/>
  <c r="L393" i="4"/>
  <c r="L385" i="3"/>
  <c r="J775" i="3" s="1"/>
  <c r="J782" i="3" s="1"/>
  <c r="J787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J385" i="3"/>
  <c r="H775" i="3" s="1"/>
  <c r="K342" i="3"/>
  <c r="K501" i="3"/>
  <c r="I781" i="3"/>
  <c r="L484" i="5" l="1"/>
  <c r="L490" i="5" s="1"/>
  <c r="L429" i="5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G782" i="3"/>
  <c r="I770" i="3"/>
  <c r="K770" i="3" s="1"/>
  <c r="N87" i="4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H782" i="3"/>
  <c r="M160" i="3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I771" i="3"/>
  <c r="I779" i="3"/>
  <c r="M35" i="3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I775" i="3"/>
  <c r="J791" i="4"/>
  <c r="H802" i="4"/>
  <c r="L432" i="4"/>
  <c r="J800" i="4"/>
  <c r="J794" i="4"/>
  <c r="J797" i="4"/>
  <c r="L790" i="4"/>
  <c r="J801" i="4"/>
  <c r="L385" i="4"/>
  <c r="I777" i="3"/>
  <c r="I774" i="3"/>
  <c r="L491" i="5" l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60" i="5"/>
  <c r="L566" i="5" s="1"/>
  <c r="N160" i="4"/>
  <c r="N167" i="4" s="1"/>
  <c r="N218" i="4" s="1"/>
  <c r="N225" i="4" s="1"/>
  <c r="N290" i="4" s="1"/>
  <c r="N296" i="4" s="1"/>
  <c r="K771" i="3"/>
  <c r="K772" i="3" s="1"/>
  <c r="K773" i="3" s="1"/>
  <c r="K774" i="3" s="1"/>
  <c r="K775" i="3" s="1"/>
  <c r="K776" i="3" s="1"/>
  <c r="K777" i="3" s="1"/>
  <c r="K778" i="3" s="1"/>
  <c r="K779" i="3" s="1"/>
  <c r="K780" i="3" s="1"/>
  <c r="M218" i="3"/>
  <c r="M225" i="3" s="1"/>
  <c r="M290" i="3" s="1"/>
  <c r="M296" i="3" s="1"/>
  <c r="L791" i="4"/>
  <c r="L792" i="4" s="1"/>
  <c r="L793" i="4" s="1"/>
  <c r="L794" i="4" s="1"/>
  <c r="I782" i="3"/>
  <c r="H787" i="3" s="1"/>
  <c r="N787" i="3" s="1"/>
  <c r="N168" i="4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M226" i="3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N226" i="4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J796" i="4"/>
  <c r="J795" i="4"/>
  <c r="L567" i="5" l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9" i="5"/>
  <c r="L635" i="5" s="1"/>
  <c r="M297" i="3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3" i="3"/>
  <c r="M349" i="3" s="1"/>
  <c r="N297" i="4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3" i="4"/>
  <c r="N349" i="4" s="1"/>
  <c r="L795" i="4"/>
  <c r="L796" i="4" s="1"/>
  <c r="L797" i="4" s="1"/>
  <c r="L798" i="4" s="1"/>
  <c r="L799" i="4" s="1"/>
  <c r="L800" i="4" s="1"/>
  <c r="L801" i="4" s="1"/>
  <c r="J802" i="4"/>
  <c r="H807" i="4" s="1"/>
  <c r="O807" i="4" s="1"/>
  <c r="K781" i="3"/>
  <c r="L695" i="5" l="1"/>
  <c r="L701" i="5" s="1"/>
  <c r="L636" i="5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M350" i="3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6" i="3"/>
  <c r="M392" i="3" s="1"/>
  <c r="N350" i="4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6" i="4"/>
  <c r="N392" i="4" s="1"/>
  <c r="L755" i="5" l="1"/>
  <c r="L761" i="5" s="1"/>
  <c r="L702" i="5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M433" i="3"/>
  <c r="M439" i="3" s="1"/>
  <c r="M393" i="3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N393" i="4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3" i="4"/>
  <c r="N439" i="4" s="1"/>
  <c r="L762" i="5" l="1"/>
  <c r="L763" i="5" s="1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75" i="5" s="1"/>
  <c r="L776" i="5" s="1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88" i="5" s="1"/>
  <c r="L789" i="5" s="1"/>
  <c r="L790" i="5" s="1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801" i="5" s="1"/>
  <c r="L802" i="5" s="1"/>
  <c r="L803" i="5" s="1"/>
  <c r="L804" i="5" s="1"/>
  <c r="L805" i="5" s="1"/>
  <c r="L806" i="5" s="1"/>
  <c r="L807" i="5" s="1"/>
  <c r="L808" i="5" s="1"/>
  <c r="L809" i="5" s="1"/>
  <c r="L810" i="5" s="1"/>
  <c r="L811" i="5" s="1"/>
  <c r="L812" i="5" s="1"/>
  <c r="L813" i="5" s="1"/>
  <c r="L814" i="5" s="1"/>
  <c r="L815" i="5" s="1"/>
  <c r="L816" i="5" s="1"/>
  <c r="L817" i="5" s="1"/>
  <c r="L818" i="5" s="1"/>
  <c r="L819" i="5" s="1"/>
  <c r="L820" i="5" s="1"/>
  <c r="L821" i="5" s="1"/>
  <c r="L822" i="5" s="1"/>
  <c r="L823" i="5" s="1"/>
  <c r="L824" i="5" s="1"/>
  <c r="L825" i="5" s="1"/>
  <c r="L826" i="5" s="1"/>
  <c r="L827" i="5" s="1"/>
  <c r="L828" i="5" s="1"/>
  <c r="L829" i="5" s="1"/>
  <c r="L832" i="5"/>
  <c r="M502" i="3"/>
  <c r="M509" i="3" s="1"/>
  <c r="M440" i="3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N502" i="4"/>
  <c r="N509" i="4" s="1"/>
  <c r="N440" i="4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M565" i="3" l="1"/>
  <c r="M571" i="3" s="1"/>
  <c r="M510" i="3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N510" i="4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5" i="4"/>
  <c r="N571" i="4" s="1"/>
  <c r="M629" i="3" l="1"/>
  <c r="M635" i="3" s="1"/>
  <c r="M572" i="3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N629" i="4"/>
  <c r="N635" i="4" s="1"/>
  <c r="N572" i="4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E860" i="1"/>
  <c r="F860" i="1"/>
  <c r="J23" i="1"/>
  <c r="J24" i="1"/>
  <c r="J25" i="1"/>
  <c r="J26" i="1"/>
  <c r="J27" i="1"/>
  <c r="J28" i="1"/>
  <c r="J29" i="1"/>
  <c r="I23" i="1"/>
  <c r="I24" i="1"/>
  <c r="I25" i="1"/>
  <c r="I26" i="1"/>
  <c r="I27" i="1"/>
  <c r="I28" i="1"/>
  <c r="I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7" i="1"/>
  <c r="I7" i="1"/>
  <c r="I74" i="1" l="1"/>
  <c r="F859" i="1" s="1"/>
  <c r="F871" i="1" s="1"/>
  <c r="J74" i="1"/>
  <c r="G859" i="1" s="1"/>
  <c r="M691" i="3"/>
  <c r="M697" i="3" s="1"/>
  <c r="M636" i="3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H860" i="1"/>
  <c r="N691" i="4"/>
  <c r="N697" i="4" s="1"/>
  <c r="N780" i="4" s="1"/>
  <c r="N636" i="4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G860" i="1"/>
  <c r="E871" i="1"/>
  <c r="G871" i="1" l="1"/>
  <c r="H859" i="1"/>
  <c r="H871" i="1" s="1"/>
  <c r="M760" i="3"/>
  <c r="M698" i="3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N698" i="4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75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I859" i="1" l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154" i="1"/>
  <c r="L160" i="1" s="1"/>
  <c r="L238" i="1" s="1"/>
  <c r="K870" i="1" l="1"/>
  <c r="L6" i="6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133" i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61" i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44" i="1"/>
  <c r="I864" i="6" l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L75" i="6"/>
  <c r="L81" i="6" s="1"/>
  <c r="L245" i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3" i="1"/>
  <c r="L319" i="1" s="1"/>
  <c r="L31" i="6" l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82" i="6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160" i="6"/>
  <c r="L166" i="6" s="1"/>
  <c r="L320" i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77" i="1"/>
  <c r="L383" i="1" s="1"/>
  <c r="L93" i="6" l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57" i="6" s="1"/>
  <c r="L167" i="6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44" i="6"/>
  <c r="L250" i="6" s="1"/>
  <c r="L384" i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58" i="1"/>
  <c r="L464" i="1" s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251" i="6" l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319" i="6"/>
  <c r="L325" i="6" s="1"/>
  <c r="L414" i="1"/>
  <c r="L415" i="1" s="1"/>
  <c r="L416" i="1" s="1"/>
  <c r="L417" i="1" s="1"/>
  <c r="L418" i="1" s="1"/>
  <c r="L419" i="1" s="1"/>
  <c r="L465" i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20" i="1"/>
  <c r="L526" i="1" s="1"/>
  <c r="L326" i="6" l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3" i="6"/>
  <c r="L389" i="6" s="1"/>
  <c r="L273" i="6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527" i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88" i="1"/>
  <c r="L594" i="1" s="1"/>
  <c r="L657" i="1" s="1"/>
  <c r="L663" i="1" s="1"/>
  <c r="L464" i="6" l="1"/>
  <c r="L470" i="6" s="1"/>
  <c r="L390" i="6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575" i="1"/>
  <c r="L576" i="1" s="1"/>
  <c r="L577" i="1" s="1"/>
  <c r="L578" i="1" s="1"/>
  <c r="L579" i="1" s="1"/>
  <c r="L580" i="1" s="1"/>
  <c r="L581" i="1" s="1"/>
  <c r="L582" i="1" s="1"/>
  <c r="L583" i="1" s="1"/>
  <c r="L584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722" i="1"/>
  <c r="L728" i="1" s="1"/>
  <c r="L778" i="1" s="1"/>
  <c r="L784" i="1" s="1"/>
  <c r="L852" i="1" s="1"/>
  <c r="L595" i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471" i="6" l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6" i="6"/>
  <c r="L532" i="6" s="1"/>
  <c r="L785" i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679" i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9" i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4" i="1" s="1"/>
  <c r="L775" i="1" s="1"/>
  <c r="L610" i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533" i="6" l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4" i="6"/>
  <c r="L600" i="6" s="1"/>
  <c r="L809" i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601" i="6" l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3" i="6"/>
  <c r="L669" i="6" s="1"/>
  <c r="L670" i="6" l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8" i="6"/>
  <c r="L734" i="6" s="1"/>
  <c r="L735" i="6" l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4" i="6"/>
  <c r="L790" i="6" s="1"/>
  <c r="L791" i="6" l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8" i="6"/>
</calcChain>
</file>

<file path=xl/sharedStrings.xml><?xml version="1.0" encoding="utf-8"?>
<sst xmlns="http://schemas.openxmlformats.org/spreadsheetml/2006/main" count="4392" uniqueCount="896">
  <si>
    <t>ENERO</t>
  </si>
  <si>
    <t xml:space="preserve">FECHA </t>
  </si>
  <si>
    <t>SIAF</t>
  </si>
  <si>
    <t>O/C</t>
  </si>
  <si>
    <t>O/S</t>
  </si>
  <si>
    <t>MES</t>
  </si>
  <si>
    <t xml:space="preserve">DESCRIPCION </t>
  </si>
  <si>
    <t>INGRESO BRUTO</t>
  </si>
  <si>
    <t>32%UNSM</t>
  </si>
  <si>
    <t>68%CCPP</t>
  </si>
  <si>
    <t>GASTO</t>
  </si>
  <si>
    <t>SALDO</t>
  </si>
  <si>
    <t>GASTOS ENERO</t>
  </si>
  <si>
    <t>DISPONIBLE</t>
  </si>
  <si>
    <t>FEBRERO</t>
  </si>
  <si>
    <t>CUADRO RESUMEN</t>
  </si>
  <si>
    <t>CUADRO SITUACIONAL ECONOMICO CTI- 2018</t>
  </si>
  <si>
    <t>A</t>
  </si>
  <si>
    <t>B</t>
  </si>
  <si>
    <t>C</t>
  </si>
  <si>
    <t>D</t>
  </si>
  <si>
    <t>E</t>
  </si>
  <si>
    <t>GASTOS</t>
  </si>
  <si>
    <t>SALDOS</t>
  </si>
  <si>
    <t>SALDO 2017</t>
  </si>
  <si>
    <t xml:space="preserve">ENERO </t>
  </si>
  <si>
    <t>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</si>
  <si>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</si>
  <si>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</si>
  <si>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</si>
  <si>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</si>
  <si>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</si>
  <si>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>SEPTIEMBRE</t>
  </si>
  <si>
    <t>OCTUBRE</t>
  </si>
  <si>
    <t>NOVIEMBRE</t>
  </si>
  <si>
    <t>DICIEMBRE</t>
  </si>
  <si>
    <t>TOTAL</t>
  </si>
  <si>
    <t>Leyenda</t>
  </si>
  <si>
    <t>Donde:</t>
  </si>
  <si>
    <t>C=</t>
  </si>
  <si>
    <t>62 % DE LOS INGRESOS DE TECNOLOGIA DE LA INFORMACION ( CTI )</t>
  </si>
  <si>
    <t>D=</t>
  </si>
  <si>
    <t>GASTOS INCURRIDOS DEL CENTRO DE TECNOLOGIA DE LA INFORMACION ( CTI )</t>
  </si>
  <si>
    <t>E=</t>
  </si>
  <si>
    <t>C  - D + SALDO INICIAL</t>
  </si>
  <si>
    <t>-</t>
  </si>
  <si>
    <t>=</t>
  </si>
  <si>
    <t>Corresponde a la solvencia que tiene el centro de produccion.</t>
  </si>
  <si>
    <t>AUXILIAR - CENTRO DE TECNOLOGIAS DE LA INFORMACIÓN.</t>
  </si>
  <si>
    <t>MES - ENERO</t>
  </si>
  <si>
    <t>INGRESOS</t>
  </si>
  <si>
    <t>REGISTRO DE ORDENES DE SER/COM</t>
  </si>
  <si>
    <t>32% UNSM</t>
  </si>
  <si>
    <t>68% CCPP</t>
  </si>
  <si>
    <t>SALDO 2018</t>
  </si>
  <si>
    <t>CUADRO SITUACIONAL ECONOMICO CTI- 2019</t>
  </si>
  <si>
    <t xml:space="preserve">REPORTES </t>
  </si>
  <si>
    <t>N°</t>
  </si>
  <si>
    <t>CONCEPTO</t>
  </si>
  <si>
    <t>INFORME N°007-2019</t>
  </si>
  <si>
    <t>PAGO RETRIBUCIONES AUTORIDADES EXP. 12724/104</t>
  </si>
  <si>
    <t>ABRIL</t>
  </si>
  <si>
    <t>DECANO MARCO GALVEZ</t>
  </si>
  <si>
    <t>COORDINADOR EDWIN HERNANDEZ</t>
  </si>
  <si>
    <t>HUMBERTO VALDERA</t>
  </si>
  <si>
    <t>ALBERTO ALVA</t>
  </si>
  <si>
    <t>MAYO</t>
  </si>
  <si>
    <t>JUNIO</t>
  </si>
  <si>
    <t>JULIO</t>
  </si>
  <si>
    <t>AGOST</t>
  </si>
  <si>
    <t>SET</t>
  </si>
  <si>
    <t>OCTU</t>
  </si>
  <si>
    <t>NOV</t>
  </si>
  <si>
    <t>DICI</t>
  </si>
  <si>
    <t>0077</t>
  </si>
  <si>
    <t>INTECI-001</t>
  </si>
  <si>
    <t>INFORME N°008-2019</t>
  </si>
  <si>
    <t>SOLICITUD DE ENCARGO INTERNO PARA REFACCION EXP. 377 CARTA 002-FISI CTI</t>
  </si>
  <si>
    <t>0215</t>
  </si>
  <si>
    <t>0216</t>
  </si>
  <si>
    <t>0217</t>
  </si>
  <si>
    <t>0218</t>
  </si>
  <si>
    <t>0219</t>
  </si>
  <si>
    <t>0220</t>
  </si>
  <si>
    <t>0221</t>
  </si>
  <si>
    <t>INTECI-002</t>
  </si>
  <si>
    <t>no procede</t>
  </si>
  <si>
    <t>MES - FEBRERO</t>
  </si>
  <si>
    <t>GASTOS FEBRERO</t>
  </si>
  <si>
    <t>INFORME N°033</t>
  </si>
  <si>
    <t>Pago personal TDR periodo enero EXP.1296 C/015 CTI</t>
  </si>
  <si>
    <t>Segundo Ramirez- Asistente</t>
  </si>
  <si>
    <t>Yajaira Salazar Novoa - Asistente</t>
  </si>
  <si>
    <t xml:space="preserve">Pricilia Rios Alegria - Auxiliar </t>
  </si>
  <si>
    <t xml:space="preserve">Franco Raul Salazar Novoa </t>
  </si>
  <si>
    <t>AUXILIAR ESTANDAR- CENTRO DE TECNOLOGIA DE LA INFORMACION ( CTI )-2018</t>
  </si>
  <si>
    <t>COD</t>
  </si>
  <si>
    <t>NOMBRE</t>
  </si>
  <si>
    <t>0001</t>
  </si>
  <si>
    <t xml:space="preserve">  INTECI.</t>
  </si>
  <si>
    <t>0033</t>
  </si>
  <si>
    <t xml:space="preserve">  INTECI. 0003</t>
  </si>
  <si>
    <t>reporte 29</t>
  </si>
  <si>
    <t>pago autoridades cti</t>
  </si>
  <si>
    <t>Lic. M.Sc.Marco Armando Gálvez Diaz</t>
  </si>
  <si>
    <t>reporte 30</t>
  </si>
  <si>
    <t>Lic.Edwin Augusto Hernandez Torres</t>
  </si>
  <si>
    <t>reporte 31</t>
  </si>
  <si>
    <t>Ing.Humberto Valdera Rodriguez</t>
  </si>
  <si>
    <t>reporte 32</t>
  </si>
  <si>
    <t>Ing.Alberto alva Arévalo</t>
  </si>
  <si>
    <t>0473</t>
  </si>
  <si>
    <t>reporte 59</t>
  </si>
  <si>
    <t>PAGO PERSONAL ADMINISTRATIVO CENTRO EN TECNOLOGIA DE INFORMATICA ENERO pricila</t>
  </si>
  <si>
    <t>0438</t>
  </si>
  <si>
    <t>PAGO PERSONAL ADMINISTRATIVO CENTRO EN TECNOLOGIA DE INFORMATICA ENERO YAJAIRA</t>
  </si>
  <si>
    <t>0439</t>
  </si>
  <si>
    <t>PAGO PERSONAL ADMINISTRATIVO CENTRO EN TECNOLOGIA DE INFORMATICA ENERO SEGUNDO</t>
  </si>
  <si>
    <t>0680</t>
  </si>
  <si>
    <t>REPORTE 81</t>
  </si>
  <si>
    <t>PAGO PERSONAL CTI</t>
  </si>
  <si>
    <t xml:space="preserve">BACH. FRANKO RAUL SALAZAR NOVOA </t>
  </si>
  <si>
    <t>0681</t>
  </si>
  <si>
    <t>REPORTE 82</t>
  </si>
  <si>
    <t>RICARDO DAIRIKU</t>
  </si>
  <si>
    <t>0682</t>
  </si>
  <si>
    <t>REPORTE 85</t>
  </si>
  <si>
    <t>PAGO PERSONAL DOCENTE CTI DTR</t>
  </si>
  <si>
    <t>ROGER BOCANEGRA DOS HORARIOS CURSOS INFORMATICA BASICA</t>
  </si>
  <si>
    <t>0683</t>
  </si>
  <si>
    <t>REPORTE 86</t>
  </si>
  <si>
    <t>JUAR ORLANDO RIASCOS ARMAS INFORMATICA BASICA DOS HORARIOS</t>
  </si>
  <si>
    <t>0684</t>
  </si>
  <si>
    <t>0324</t>
  </si>
  <si>
    <t>REPORTE 87</t>
  </si>
  <si>
    <t>GUSTAVO EDUARDO RIOS QUEVEDO INFORMATICA BASICA SÁBADOS</t>
  </si>
  <si>
    <t>0685</t>
  </si>
  <si>
    <t>REPORTE 88</t>
  </si>
  <si>
    <t xml:space="preserve">RICARDO DAIRUKU REATEGUI RUIZ INFORMATICA BASICA </t>
  </si>
  <si>
    <t>0686</t>
  </si>
  <si>
    <t>REPORTE 89</t>
  </si>
  <si>
    <t xml:space="preserve">ABNER PURIFICACIÓN CAMPOJÓ VÁSQUEZ INFORMÁTICA BÁSICA </t>
  </si>
  <si>
    <t>0687</t>
  </si>
  <si>
    <t>REPORTE 90</t>
  </si>
  <si>
    <t>FRANCO RAUL SALAZAR NOVOA</t>
  </si>
  <si>
    <t>0688</t>
  </si>
  <si>
    <t>REPORTE 91</t>
  </si>
  <si>
    <t>SEGUNDO RAMIREZ SHIPINGAHUA</t>
  </si>
  <si>
    <t>REPORTE 92</t>
  </si>
  <si>
    <t>JUAN ANTONIO REYNA SAAVEDRA</t>
  </si>
  <si>
    <t>DEVOLUCIONES:</t>
  </si>
  <si>
    <t>MANUELA DEL CARMEN RIOS CAMPOS (O/037-FISI EXP.853)</t>
  </si>
  <si>
    <t>ESTEFANI ALEFANDRA CHAVEZ FLORES (O-068-FISI EXP. 1571)</t>
  </si>
  <si>
    <t>SALDOS MES ENERO</t>
  </si>
  <si>
    <t xml:space="preserve"> INTECI.-004</t>
  </si>
  <si>
    <t xml:space="preserve"> INTECI.-005</t>
  </si>
  <si>
    <t xml:space="preserve"> INTECI.-006</t>
  </si>
  <si>
    <t>01236</t>
  </si>
  <si>
    <t>0551</t>
  </si>
  <si>
    <t>REPORTE 122</t>
  </si>
  <si>
    <t>PERSONA ADMINISTRATIVO SEGUNDO, EXP. 1769</t>
  </si>
  <si>
    <t>01235</t>
  </si>
  <si>
    <t>0552</t>
  </si>
  <si>
    <t>PERSONA ADMINISTRATIVOYAJAIRA, EXP. 1769</t>
  </si>
  <si>
    <t>01234</t>
  </si>
  <si>
    <t>0553</t>
  </si>
  <si>
    <t>PERSONA ADMINISTRATIVO PRICILIA, EXP. 1769</t>
  </si>
  <si>
    <t>REPORTE 123</t>
  </si>
  <si>
    <t>PAGO DOCENTE INTERNO ROYDICHAN EXP 1768 CURSO INFORMATICA BASICA  ENERO ABRIL</t>
  </si>
  <si>
    <t>01582</t>
  </si>
  <si>
    <t>0639</t>
  </si>
  <si>
    <t>REPORTE 124</t>
  </si>
  <si>
    <t>PAGO DOCENTE TDR DIRCK DIAZ DELGADO EXCEL INTERMEDIO EXP 1769 17 DE FEBRERO AL 24 DE MARZO</t>
  </si>
  <si>
    <t xml:space="preserve">REPORTE N° 130:   </t>
  </si>
  <si>
    <t>PARK CENTER MULTISERVICIOS DE OYARCE QUEVEDO FREDY GONZALO.</t>
  </si>
  <si>
    <t>01699</t>
  </si>
  <si>
    <t>0708</t>
  </si>
  <si>
    <t>REPORTE 162</t>
  </si>
  <si>
    <t>PAGO PERSONAL ADMINISTRATIVO TDR MEES DE MARZO RIOS ALEGRIA PATRICIA EXP. 2821</t>
  </si>
  <si>
    <t>01698</t>
  </si>
  <si>
    <t>0707</t>
  </si>
  <si>
    <t>PAGO PERSONAL ADMINISTRATIVO TDR MEES DE MARZO SALAZAR NOVOA YAJAIRA EXP. 2821</t>
  </si>
  <si>
    <t>01697</t>
  </si>
  <si>
    <t>0706</t>
  </si>
  <si>
    <t>PAGO PERSONAL ADMINISTRATIVO TDR MEES DE MARZO SEGUNDO ROGER RAMIREZ EXP. 2821</t>
  </si>
  <si>
    <t>DINA SEGURA VASQUEZ EXP. 1992 C/033-CTI</t>
  </si>
  <si>
    <t>SALDOS MES FEBRERO</t>
  </si>
  <si>
    <t>INGRESOS MARZO</t>
  </si>
  <si>
    <t xml:space="preserve">  INTECI. 0007</t>
  </si>
  <si>
    <t xml:space="preserve"> </t>
  </si>
  <si>
    <t>INTECI-008</t>
  </si>
  <si>
    <t>INTECI-009</t>
  </si>
  <si>
    <t>GASTOS MARZO</t>
  </si>
  <si>
    <t>MEMO N°339 SIAF 2076</t>
  </si>
  <si>
    <t>REPORTE 182</t>
  </si>
  <si>
    <t>ENCARGO INTERNO LIC EDWIN HERNANDEZ EXP.3060</t>
  </si>
  <si>
    <t>MEMO N° 494-DGA SIAF 3197</t>
  </si>
  <si>
    <t>REPORTE 183</t>
  </si>
  <si>
    <t>PAGO A AUTORIDADES ENERO FERBERO EXP.2996</t>
  </si>
  <si>
    <t>02390</t>
  </si>
  <si>
    <t>01026</t>
  </si>
  <si>
    <t>REPORTE 213</t>
  </si>
  <si>
    <t>PAGO PERSONAL TDR MES DE ABRIL CTI SEGUNDO EXP. 3726</t>
  </si>
  <si>
    <t>02389</t>
  </si>
  <si>
    <t>01027</t>
  </si>
  <si>
    <t>PAGO PERSONAL TDR MES DE ABRIL CTI YAJAIRA EXP. 3726</t>
  </si>
  <si>
    <t>02388</t>
  </si>
  <si>
    <t>01028</t>
  </si>
  <si>
    <t>PAGO PERSONAL TDR MES DE ABRIL CTI PRICILIA EXP. 3726</t>
  </si>
  <si>
    <t>SALDOS MES MARZO</t>
  </si>
  <si>
    <t>INGRESOS ABRIL</t>
  </si>
  <si>
    <t>02280</t>
  </si>
  <si>
    <t>INTECI - 010</t>
  </si>
  <si>
    <t>02470</t>
  </si>
  <si>
    <t>INTECI - 011</t>
  </si>
  <si>
    <t>GASTOS ABRIL</t>
  </si>
  <si>
    <t>02945</t>
  </si>
  <si>
    <t>01316</t>
  </si>
  <si>
    <t xml:space="preserve">REPORTE N° 231: </t>
  </si>
  <si>
    <t>FRANKO RAUL SALAZAR NOVOA</t>
  </si>
  <si>
    <t xml:space="preserve">02/04 AL 25/05 </t>
  </si>
  <si>
    <t>02921</t>
  </si>
  <si>
    <t>01330</t>
  </si>
  <si>
    <t>reporte N° 237</t>
  </si>
  <si>
    <t>PAGO MELISSA CASTAÑEDA EXP 4117 ABRIL</t>
  </si>
  <si>
    <t>03072</t>
  </si>
  <si>
    <t>01351</t>
  </si>
  <si>
    <t>REPORTE N°240</t>
  </si>
  <si>
    <t>PAGO TDR MAYO EXP 4659 SEGUNDO ROGER RAMIREZ</t>
  </si>
  <si>
    <t>03070</t>
  </si>
  <si>
    <t>01352</t>
  </si>
  <si>
    <t>PAGO TDR MAYO EXP 4659 YAJAIRA SALAZAR</t>
  </si>
  <si>
    <t>03071</t>
  </si>
  <si>
    <t>01353</t>
  </si>
  <si>
    <t>PAGO TDR MAYO EXP 4659 PRICILA RIOS ALEGRIA</t>
  </si>
  <si>
    <t>03075</t>
  </si>
  <si>
    <t>01354</t>
  </si>
  <si>
    <t>REPORTE 241</t>
  </si>
  <si>
    <t>PAGO PERSONAL TDR PROMOTOR  FRANKO SALAZAR EX DE SUFICIENCIA EXP 4474 OFICIO 161</t>
  </si>
  <si>
    <t>REPORTE 242</t>
  </si>
  <si>
    <t>PAGO PERSONAL DOCENTE INTERNO ROYDICHAN OLANO AREVALO EXP. 4473</t>
  </si>
  <si>
    <t>INFORME N°028</t>
  </si>
  <si>
    <t>PAGO AUTORIDADES PERIODO ENERO FEBRERO 2017 EXP 4329 4638</t>
  </si>
  <si>
    <t>MARCO GALVEZ</t>
  </si>
  <si>
    <t>MEMO N° 529-DGA SIAF 3634</t>
  </si>
  <si>
    <t>ENERO FERBERO 2017</t>
  </si>
  <si>
    <t>EDWIN HERNADNEZ</t>
  </si>
  <si>
    <t>PAGO AUTORIDADES PERIODOMARZOABRIL 2017 EXP 4329 4638</t>
  </si>
  <si>
    <t>MARZO ABRIL 2017</t>
  </si>
  <si>
    <t>EDWIN HERNANDEZ</t>
  </si>
  <si>
    <t>SALDOS MES ABRIL</t>
  </si>
  <si>
    <t>INGRESOS MAYO</t>
  </si>
  <si>
    <t>03113</t>
  </si>
  <si>
    <t>INTECI-012</t>
  </si>
  <si>
    <t>03878</t>
  </si>
  <si>
    <t>INTECI-013</t>
  </si>
  <si>
    <t>GASTOS MAYO</t>
  </si>
  <si>
    <t>MEMO CIRCULAR N°061-DGA SIAF 5113</t>
  </si>
  <si>
    <t>reporte 262</t>
  </si>
  <si>
    <t>encargo interno edwin hernandez exp. 4913 c/085</t>
  </si>
  <si>
    <t>03346</t>
  </si>
  <si>
    <t>01511</t>
  </si>
  <si>
    <t>REPORTE 263</t>
  </si>
  <si>
    <t>GASTO POR CONFECCION DE CERTIFICADOS 1 MILLAR EXP.4613 gunter paima</t>
  </si>
  <si>
    <t>03819</t>
  </si>
  <si>
    <t>01578</t>
  </si>
  <si>
    <t>reporte 264</t>
  </si>
  <si>
    <t>PAGO INSTRUCTOR DE DANZA LUIS ISAAC NAVEDA REATEGUI EXP.5067</t>
  </si>
  <si>
    <t>03545</t>
  </si>
  <si>
    <t>01590</t>
  </si>
  <si>
    <t>reporte 277</t>
  </si>
  <si>
    <t>PAGO MELISSA CASTAÑEDA EXP 5230 mayo</t>
  </si>
  <si>
    <t>3639</t>
  </si>
  <si>
    <t>01629</t>
  </si>
  <si>
    <t>REPORTE 290</t>
  </si>
  <si>
    <t>PAGO DOCENTE EXTERNO DICK DIAZ DELGADO CURSO EXCELL INTERMEDIO DEL 28 DE 04 AL 02-06 EX´.4472</t>
  </si>
  <si>
    <t>03638</t>
  </si>
  <si>
    <t>01630</t>
  </si>
  <si>
    <t>REPORTE 291</t>
  </si>
  <si>
    <t>PAGO DOCENTE EXTERNO LUIS TRIGOZO GARCUA CUROS INFORMATICA BASICA 23/04 AL 15-066 EXP. 4470</t>
  </si>
  <si>
    <t>04074</t>
  </si>
  <si>
    <t>01860</t>
  </si>
  <si>
    <t>REPORTE 301</t>
  </si>
  <si>
    <t>PAGODOCENTE EXTERNO JULIO CESAR MEGO SARMIENTO EXP. 4471 INFORMATICA BASICA 23 DE ABRIL AL 28-06</t>
  </si>
  <si>
    <t>04073</t>
  </si>
  <si>
    <t>01861</t>
  </si>
  <si>
    <t>reporte 302</t>
  </si>
  <si>
    <t>PAGO DOCENTE EXTERNO FRANKO RAUL SLAZAR INFORMATICA BASICA LOS SABADOS 21 DE 04 AL 07-07 EXP. 4465</t>
  </si>
  <si>
    <t>04089</t>
  </si>
  <si>
    <t>01889</t>
  </si>
  <si>
    <t>reporte 309</t>
  </si>
  <si>
    <t>PAGO PERSONAL ADMINSITRATIVO TDR MES DE JUNIO EXP. 5992 SEGUNDO RAMIREZ</t>
  </si>
  <si>
    <t>04091</t>
  </si>
  <si>
    <t>01891</t>
  </si>
  <si>
    <t>PAGO PERSONAL ADMINSITRATIVO TDR MES DE JUNIO EXP. 5992 YAJAIRA SALAZAR</t>
  </si>
  <si>
    <t>04093</t>
  </si>
  <si>
    <t>01892</t>
  </si>
  <si>
    <t>PAGO PERSONAL ADMINSITRATIVO TDR MES DE JUNIO EXP. 5992 PRICILIA RIOS</t>
  </si>
  <si>
    <t>04094</t>
  </si>
  <si>
    <t>01893</t>
  </si>
  <si>
    <t>REPORTE 316</t>
  </si>
  <si>
    <t>PAGO TDR FRANCO SALAZAR POR ELSERVICIO DE EVALUACION DE SUFICIENCIA A LOS ESTUDIANTES EXP 5993</t>
  </si>
  <si>
    <t>04173</t>
  </si>
  <si>
    <t>01897</t>
  </si>
  <si>
    <t>REPORTE 317</t>
  </si>
  <si>
    <t>PAGO MELISSA CASTAÑEDA EXP 6126 JUNIO</t>
  </si>
  <si>
    <t>INGRESOS JUNIO</t>
  </si>
  <si>
    <t>03879</t>
  </si>
  <si>
    <t>INTECI-014</t>
  </si>
  <si>
    <t>INTECI</t>
  </si>
  <si>
    <t>GASTOS JUNIO</t>
  </si>
  <si>
    <t>04745</t>
  </si>
  <si>
    <t>00323</t>
  </si>
  <si>
    <t>REPORTE 324</t>
  </si>
  <si>
    <t>GASTOS EFETUADS POR UNA IMPRESORA EXP. 3416, IMPRESORA EPSON MULTIFUNCIONAL</t>
  </si>
  <si>
    <t>04433</t>
  </si>
  <si>
    <t>00315</t>
  </si>
  <si>
    <t>MPRESORA 3D ALUMINIO</t>
  </si>
  <si>
    <t>04434</t>
  </si>
  <si>
    <t>00316</t>
  </si>
  <si>
    <t>REPORTE 325</t>
  </si>
  <si>
    <t xml:space="preserve">EXP 3415 ADQUISICION DE 03 ACCES POINT </t>
  </si>
  <si>
    <t>MEMO 669-DGA SIAF 5246</t>
  </si>
  <si>
    <t>REPORTE 326</t>
  </si>
  <si>
    <t>PAGO PERSONAL DOCENTE INTERNO JUAN ANTONIO REYNA EXP 4469 DEL 21-04 AL 07 DE JULIO</t>
  </si>
  <si>
    <t>04739</t>
  </si>
  <si>
    <t>02180</t>
  </si>
  <si>
    <t>REPORTE 377</t>
  </si>
  <si>
    <t>PAGO PERSONAL ADMINISTRATIVO MES DE JULIO TDR SEGUNDO RAMIREZ EXP. 7176</t>
  </si>
  <si>
    <t>04740</t>
  </si>
  <si>
    <t>02181</t>
  </si>
  <si>
    <t>PAGO PERSONAL ADMINISTRATIVO MES DE JULIO TDR YAJAIRA SALAZAR EXP. 7176</t>
  </si>
  <si>
    <t>04741</t>
  </si>
  <si>
    <t>02182</t>
  </si>
  <si>
    <t>PAGO PERSONAL ADMINISTRATIVO MES DE JULIO TDR PRICILIA RIOS ALEGRIA EXP. 7176</t>
  </si>
  <si>
    <t>04742</t>
  </si>
  <si>
    <t>02179</t>
  </si>
  <si>
    <t>SIN REPORTE</t>
  </si>
  <si>
    <t>PAGO DE MELISSA CASTAÑEDA EXP. 7201 MES DE JULIO</t>
  </si>
  <si>
    <t>SOLO CARTA SOLICITANDO LA CERTIFICACION</t>
  </si>
  <si>
    <t>INGRESOS JULIO</t>
  </si>
  <si>
    <t>05275</t>
  </si>
  <si>
    <t>INTECI-017</t>
  </si>
  <si>
    <t>GASTOS JULIO</t>
  </si>
  <si>
    <t>05324</t>
  </si>
  <si>
    <t>02464</t>
  </si>
  <si>
    <t>REPORTE 387</t>
  </si>
  <si>
    <t>CONVENIO CISCO SOPORTE DE PROGRAMA EXP. 7175 CISCO ASC Y ITC</t>
  </si>
  <si>
    <t>REPORTE 388</t>
  </si>
  <si>
    <t>05670</t>
  </si>
  <si>
    <t>0474</t>
  </si>
  <si>
    <t>ADQUISICION DE DRONES 01  DRONE DJI SPARK + CAPACITACION + REGISTRO MTC EXP. 3414 COMPUTREND</t>
  </si>
  <si>
    <t>05323</t>
  </si>
  <si>
    <t>02456</t>
  </si>
  <si>
    <t>REPORTE 389</t>
  </si>
  <si>
    <t>PAGO DOCENTE EXTERNO JOANY SILVA TAFUR CONTRATO 16-06 AL 18-08 EXP. 6475</t>
  </si>
  <si>
    <t>05321</t>
  </si>
  <si>
    <t>02457</t>
  </si>
  <si>
    <t>PAGO DOCENTE EXTERNO JOANY SILVA TAFUR CONTRATO 09-06 AL 11-08 EXP. 6475</t>
  </si>
  <si>
    <t>05381</t>
  </si>
  <si>
    <t>02479</t>
  </si>
  <si>
    <t>REPORTE 427</t>
  </si>
  <si>
    <t>PAGO PERSONAL TDR FRANCO RAUL SALAZAR POR REALZIAR EVALUACIONES DE EXAMEN DE SUFICIENCIA Y CONVALIDACION 15-06 AL 15-07</t>
  </si>
  <si>
    <t>INGRESOS AGOSTO</t>
  </si>
  <si>
    <t>05420</t>
  </si>
  <si>
    <t>INTECI-018</t>
  </si>
  <si>
    <t>05983</t>
  </si>
  <si>
    <t>INTECI-019</t>
  </si>
  <si>
    <t>05984</t>
  </si>
  <si>
    <t>INTECI-020</t>
  </si>
  <si>
    <t>GASTOS AGOSTO</t>
  </si>
  <si>
    <t>05584</t>
  </si>
  <si>
    <t>02583</t>
  </si>
  <si>
    <t>REPORTE 435</t>
  </si>
  <si>
    <t>PAGO PERSONAL TDR MES DE AGOSTO SEGUNDO ROGER RAMIREZ EXP. 8236</t>
  </si>
  <si>
    <t>05585</t>
  </si>
  <si>
    <t>02584</t>
  </si>
  <si>
    <t>PAGO PERSONAL TDR MES DE AGOSTO YAJAIRA EXP. 8236</t>
  </si>
  <si>
    <t>05586</t>
  </si>
  <si>
    <t>02585</t>
  </si>
  <si>
    <t>PAGO PERSONAL TDR MES DE AGOSTO PRICILIA RIOS EXP. 8236</t>
  </si>
  <si>
    <t>PAGO DE MELISSA CASTAÑEDA EXP. 8465 MES DE AGOSTO</t>
  </si>
  <si>
    <t>INGRESOS SETIEMBRE</t>
  </si>
  <si>
    <t>06270</t>
  </si>
  <si>
    <t>INTECI-021</t>
  </si>
  <si>
    <t>06271</t>
  </si>
  <si>
    <t>INTECI-022</t>
  </si>
  <si>
    <t>GASTOS SETIEMBRE</t>
  </si>
  <si>
    <t>02685</t>
  </si>
  <si>
    <t>06093</t>
  </si>
  <si>
    <t>REPORTE 470</t>
  </si>
  <si>
    <t>PAGO PERSONAL TDR MES DE SETIEMBRE SEGUNRO ROGER EXP. 9398</t>
  </si>
  <si>
    <t>02687</t>
  </si>
  <si>
    <t>06095</t>
  </si>
  <si>
    <t>PAGO PERSONAL TDR MES DE SETIEMBRE YAJAIRA SALAZAR EXP. 9398</t>
  </si>
  <si>
    <t>02686</t>
  </si>
  <si>
    <t>06094</t>
  </si>
  <si>
    <t>PAGO PERSONAL TDR MES DE SETIEMBRE PRICILIA RIOS EXP. 9398</t>
  </si>
  <si>
    <t>06279</t>
  </si>
  <si>
    <t>02794</t>
  </si>
  <si>
    <t>REPORTE 476</t>
  </si>
  <si>
    <t>PAGO PERSONAL TDR FRANDO RAUL SALAZAR POR EVALUACIONES DE EXAMEN SUFICIENCIA 15-07 AL 15-08 EXP. 9591</t>
  </si>
  <si>
    <t>PAGO DE MELISSA CASTAÑEDA EXP. 9701 MES DE setiembre</t>
  </si>
  <si>
    <t>INGRESOS octubre</t>
  </si>
  <si>
    <t>06708</t>
  </si>
  <si>
    <t>INTECI-023</t>
  </si>
  <si>
    <t>07066</t>
  </si>
  <si>
    <t>INTECI-024</t>
  </si>
  <si>
    <t>GASTOS OCTUBRE</t>
  </si>
  <si>
    <t>06814</t>
  </si>
  <si>
    <t>03098</t>
  </si>
  <si>
    <t>REPORTE 509</t>
  </si>
  <si>
    <t>PAGO PESONAL TDR MES DE OCTUBRE EXP. 10670 OFICIO N°317</t>
  </si>
  <si>
    <t>SEGUNDO RAMIREZ SHUPINGAHUA</t>
  </si>
  <si>
    <t>06818</t>
  </si>
  <si>
    <t>03099</t>
  </si>
  <si>
    <t>YAJAIRA SALAZAR NOVIA</t>
  </si>
  <si>
    <t>06819</t>
  </si>
  <si>
    <t>03100</t>
  </si>
  <si>
    <t>PRISCILIA RIOS ALEGRIA</t>
  </si>
  <si>
    <t>07140</t>
  </si>
  <si>
    <t>03269</t>
  </si>
  <si>
    <t>REPORTE 519</t>
  </si>
  <si>
    <t xml:space="preserve">PAGO DOCENTE EXTERNO INFORMATICA BASICA DEL 22/08 AL 23-10 LUNES A VIERNES EXP 9069 </t>
  </si>
  <si>
    <t>JULIOCESAR MEGA SARMIENTO</t>
  </si>
  <si>
    <t>07141</t>
  </si>
  <si>
    <t>03271</t>
  </si>
  <si>
    <t>REPORTE 520</t>
  </si>
  <si>
    <t>PAGO DOCENTE EXTERNO excell intermedio sabados  exp. 9547</t>
  </si>
  <si>
    <t>dick diaz delgado</t>
  </si>
  <si>
    <t>PAGO DE MELISSA CASTAÑEDA EXP. 10929 MES DE octubre</t>
  </si>
  <si>
    <t>INGRESOS NOVIEMBRE</t>
  </si>
  <si>
    <t>07606</t>
  </si>
  <si>
    <t>INTECI-025</t>
  </si>
  <si>
    <t>INTECI-</t>
  </si>
  <si>
    <t>REPORTE 568</t>
  </si>
  <si>
    <t>PAGO PERSONAL DE TDR MES DE NOVIEMBRE EXP. 11739-A SEGUNDO ROGER RAMIREZ</t>
  </si>
  <si>
    <t>PAGO PERSONAL DE TDR MES DE NOVIEMBRE EXP. 11739-A YAJAIRA SALAZAR NOVOA</t>
  </si>
  <si>
    <t>PAGO PERSONAL DE TDR MES DE NOVIEMBRE EXP. 11739-A PRICILIA RIOS ALEGRIA</t>
  </si>
  <si>
    <t>REPORTE 569</t>
  </si>
  <si>
    <t>PAGO A PERSONAL DE LA OFICINA DE INFORMATICA Y COMUNICACIONES EXP. 12165 QUE VA SED RCUBIERTO CON CTI</t>
  </si>
  <si>
    <t>JOSE MANUEL DIAZ AYALA EXP. 12164</t>
  </si>
  <si>
    <t>EFREN ESCOBEDO BECERRA EXP. 12162</t>
  </si>
  <si>
    <t>sin reporte</t>
  </si>
  <si>
    <t>pago melissa castañeda - oficina de centros de bienes y servicios noviembre</t>
  </si>
  <si>
    <t>reporte 570</t>
  </si>
  <si>
    <t>pago docente externo franko raul salazar novoa curso informatica basica 01-09 al 01-12 los dias sabados exp. 9070</t>
  </si>
  <si>
    <t>REPORTE 571</t>
  </si>
  <si>
    <t>PAGO DOCENTE EXTERNO EVRGISTO SARE LAWA CURSO INOFORMATICA BASCA SOLO JUEVESY VIERNES</t>
  </si>
  <si>
    <t>EXP. 10106 21-09 AL 16-11</t>
  </si>
  <si>
    <t>REPORTE 572</t>
  </si>
  <si>
    <t>DOCENTE EXTERNO CURSO INFORMATICA BASICA RONAL JULCA URQUIZA DEL 22-09 AL 24-11EXP. 11717</t>
  </si>
  <si>
    <t>REPORTE 573</t>
  </si>
  <si>
    <t>PAGO DOCENTE POR DICTADO DETALLER LLENER REATEGUICENEPO CURSO SAP LOS DOMINGOS</t>
  </si>
  <si>
    <t>EXP. 11728 11-11 AL 02-12</t>
  </si>
  <si>
    <t>INGRESOS DICIEMBRE</t>
  </si>
  <si>
    <t>09450</t>
  </si>
  <si>
    <t>INTECI-027</t>
  </si>
  <si>
    <t>09485</t>
  </si>
  <si>
    <t>INTECI-028</t>
  </si>
  <si>
    <t>reporte 586</t>
  </si>
  <si>
    <t>pago docente externo evergisto sare lara curso informatica basica 22-09 al 15-12 solo sabados exp 10107</t>
  </si>
  <si>
    <t>REPORTE 587</t>
  </si>
  <si>
    <t>PAGO DOCENTE CURSO INFORMATICA BASICA SEGUNDO ROGERRAMIREZ 13-10 AL 15-12 SOLO SABADOS EXP. 11147</t>
  </si>
  <si>
    <t>REPORTE 588</t>
  </si>
  <si>
    <t xml:space="preserve">PAGO POR REALIZAR EVALUACIONES DE SUFICIENCIA A LOS ESTUDIANTES INFR BASICA CTI DEL 15-08 AL 15-09 </t>
  </si>
  <si>
    <t>FRANKO RAUL SALAZAR NOVOA EXP. 12328</t>
  </si>
  <si>
    <t>REPORTE 589</t>
  </si>
  <si>
    <t>PAGO POR REALIZAR EVALUACIONES DE SUFICIENCIA A LOS ESTUDIANTES INFR BASICA CTI DEL 1609 AL 16-10</t>
  </si>
  <si>
    <t>FRANKO RAUL SALAZAR NOVOA EXP. 12329</t>
  </si>
  <si>
    <t>reporte 596</t>
  </si>
  <si>
    <t>docente interno dictado informatica basica los sabados en la tarde del 22-09 al 25-12 exp. 10105</t>
  </si>
  <si>
    <t xml:space="preserve">juan antonio reina saaavedra </t>
  </si>
  <si>
    <t>REPORTE 615</t>
  </si>
  <si>
    <t xml:space="preserve">PAGO DOCENRE EXTERNI UNFORMATICA BASICA EXP. 12550 L-V 19:00 A 22:00 </t>
  </si>
  <si>
    <t>26-11 AL 21-12 EVERGISTO SARE LARA</t>
  </si>
  <si>
    <t>REPORTE 620</t>
  </si>
  <si>
    <t xml:space="preserve">PAGO PERSONAL TDR MES DE DICIEMBRE EXP 12726 SEGUNDO RAMRIEZ ADMINISTRADOR </t>
  </si>
  <si>
    <t>YAJAIRA SALAZAR NOVOA</t>
  </si>
  <si>
    <t xml:space="preserve">PSICILIA RIOS ALEGRIA </t>
  </si>
  <si>
    <t>REPORTE 621</t>
  </si>
  <si>
    <t>PAGO PERSONAL TDR RESPONSABLE DE REALIZAR COMPENDIO DE ACTIVIDADES CTI EXP. 12725</t>
  </si>
  <si>
    <t>EVERGISTO LARÉ LARA 01-10 AL 14/12/2018</t>
  </si>
  <si>
    <t>PAGO A MELISSA CASTAÑEDA APOYO OFICINA DE BIENS Y SERVICIOS DICIEMBRE</t>
  </si>
  <si>
    <t>REPORTE 639</t>
  </si>
  <si>
    <t>PAGO A PERSONAL DE LA OFICINA DE INFORMATICA Y COMUNICACIONES EXP.  QUE VA SED RCUBIERTO CON CTI</t>
  </si>
  <si>
    <t>JOSE MANUEL DIAZ AYALA EXP. 13064</t>
  </si>
  <si>
    <t>EFREN ESCOBEDO BECERRA EXP. 13061</t>
  </si>
  <si>
    <t>reporte 647</t>
  </si>
  <si>
    <t>pago por enseñanza docente interno ronald julca urquiza exp. 13077 del 22-09 al 24-11</t>
  </si>
  <si>
    <t>curso informatica basica martesj uebes ysabados de 6 a 9 pm</t>
  </si>
  <si>
    <t>curso informatica basica lunes miercoles viernes de 3 a 6</t>
  </si>
  <si>
    <t>NO SE ATENDIÓ</t>
  </si>
  <si>
    <t>ADQUISICION DE DRONES 01 HUBSAN H501S X4 FPB 1080 Y PROFESIONAL EXP. 3414 COMPUTREND POR UN MONTO DE 1344</t>
  </si>
  <si>
    <t>8966</t>
  </si>
  <si>
    <t>O/C 4397</t>
  </si>
  <si>
    <t>8963 O/S 4395</t>
  </si>
  <si>
    <t>8964</t>
  </si>
  <si>
    <t>O/C 4396</t>
  </si>
  <si>
    <t>4222</t>
  </si>
  <si>
    <t>4221</t>
  </si>
  <si>
    <t>4175</t>
  </si>
  <si>
    <t>4182</t>
  </si>
  <si>
    <t>8532</t>
  </si>
  <si>
    <t>4183</t>
  </si>
  <si>
    <t>8529</t>
  </si>
  <si>
    <t>4184</t>
  </si>
  <si>
    <t>8527</t>
  </si>
  <si>
    <t>4186</t>
  </si>
  <si>
    <t>8528</t>
  </si>
  <si>
    <t>4185</t>
  </si>
  <si>
    <t>8278</t>
  </si>
  <si>
    <t>3952</t>
  </si>
  <si>
    <t>8279</t>
  </si>
  <si>
    <t>3953</t>
  </si>
  <si>
    <t>8280</t>
  </si>
  <si>
    <t>3954</t>
  </si>
  <si>
    <t>9020</t>
  </si>
  <si>
    <t>4409</t>
  </si>
  <si>
    <t>MEMO N°100-DGA SIAF 9244</t>
  </si>
  <si>
    <t>Lic. M.Sc.Marco Armando Gálvez Diaz 2017</t>
  </si>
  <si>
    <t>Lic.Edwin Augusto Hernandez Torres 2017</t>
  </si>
  <si>
    <t>Ing.Humberto Valdera Rodriguez 2017</t>
  </si>
  <si>
    <t>Ing.Alberto alva Arévalo2017</t>
  </si>
  <si>
    <t>PAGO A AUTORIDADES ENERO FERBERO EXP.2996 enero - febrero 2018</t>
  </si>
  <si>
    <t>ADQUISICION DE DRONES 01 HUBSAN H501S X4 FPB 1080 Y PROFESIONAL EXP. 3414 COMPUTREND</t>
  </si>
  <si>
    <t>INFORME N°060-2019</t>
  </si>
  <si>
    <t>MANTENIMIENTO PREVENTIVO DE AIRE ACONDICIONADO EXP. 512 C/077 SICLIMAR</t>
  </si>
  <si>
    <t>INFORME N°077-2019</t>
  </si>
  <si>
    <t>PAGO PERSONAL ADMINISTRATIVO MES DE FEBRERO EXP 2324 CARTA 021</t>
  </si>
  <si>
    <t>SEGUNDO RAMIREZ</t>
  </si>
  <si>
    <t>YAJAIRASALAZAR</t>
  </si>
  <si>
    <t>PRICILIA RIOS ALEGRIA</t>
  </si>
  <si>
    <t>INFORME N°079-2018</t>
  </si>
  <si>
    <t>PAGO TDR MELISSA CASTAÑEDA MES DE ENERO Y FEBRERO</t>
  </si>
  <si>
    <t>INTECI-003</t>
  </si>
  <si>
    <t>0691</t>
  </si>
  <si>
    <t>INTECI-004</t>
  </si>
  <si>
    <t>MES - MARZO</t>
  </si>
  <si>
    <t>INFORME N°092-2019</t>
  </si>
  <si>
    <t>PAGO POR DICTADO DEL CURSO INFORMATIC BÁSICA DEL 12-01 AL 30-03 JUAN ANTONIO REINA SAAVEDRA EXP. 2329-DGA CARTA N°027-DGA SABADOS</t>
  </si>
  <si>
    <t>PAGO POR DICTADO DEL CURSO INFORMATIC BÁSICA DEL 14-01 AL 08-03 JUAN ANTONIO REINA SAAVEDRA EXP. 2329-DGA CARTA N°027-DGA LUNES A VIERNES</t>
  </si>
  <si>
    <t>INFORME N°093-2019</t>
  </si>
  <si>
    <t>PAGO POR DICTADO DE CURSO INFORMATICA BASICA DEL CARTA N°030-EXP. 2355 ERNESTO PEÑA ROBALINO L-MIERC.VIER 16:00 A 18:00 22-01 AL 03-04</t>
  </si>
  <si>
    <t>PAGO POR DICTADO DE CURSO INFORMATICA BASICA DEL CARTA N°030-EXP. 2355 ERNESTO PEÑA ROBALINO L-MAR-MIER 16:00 A 18:00 DEL 12-01 AL 30-03</t>
  </si>
  <si>
    <t>PAGO POR DICTADO DE CURSO INFORMATICA BASICA DEL CARTA N°030-EXP. 2355 ERNESTO PEÑA ROBALINO SABADOS 22-01 AL 03-04</t>
  </si>
  <si>
    <t>INFORME N°096-2019</t>
  </si>
  <si>
    <t>PAGO POR DICTADO DE CURSO INFORMATICA BASICA DEL CARTA N°024-EXP. 2326 RAYS CHRISTIAN SHUPINGAHUA PISCOO L-VIER 10:00 A 12:00 14-01 AL 08-03</t>
  </si>
  <si>
    <t>PAGO POR DICTADO DE CURSO INFORMATICA BASICA DEL CARTA N°024-EXP. 2326 RAYS CHRISTIAN SHUPINGAHUA PISCOO L-VIER 20:00 A 12:00 28-01 AL 22-03</t>
  </si>
  <si>
    <t>INFORME N°097-2019</t>
  </si>
  <si>
    <t>INFORME N°098-2019</t>
  </si>
  <si>
    <t>PAGO POR DICTADO DE CURSO EXCEL INTERMEDIO/ AVANZADO  DEL CARTA N°032-EXP. 2333 DICK DIAZ DELGADO SABADOS 08:00 A 14:00 09-02 AL 23-03</t>
  </si>
  <si>
    <t>INFORME N°099-2019</t>
  </si>
  <si>
    <t>PAGO POR DICTADO DE CURSO CIVIL 3D DEL CARTA N°031-EXP. 2332 LLENER REATEGUI CENEPO SABADOS 14:30 A 18:30 26-01-2019 AL 30-03-2019</t>
  </si>
  <si>
    <t>INFORME N°100-2019</t>
  </si>
  <si>
    <t>PAGO POR DICTADO DE CURSO INFORMATICA BASICA DEL CARTA N°025-EXP. 2327 EVERGISTO SARE LARA L-VIER 16:00 A 18:00 21-01 AL 15-03</t>
  </si>
  <si>
    <t>PAGO POR DICTADO DE CURSO INFORMATICA BASICA DEL CARTA N°025-EXP. 2327 EVERGISTO SARE LARA L-VIER 20:00 A 22:00 12-01 AL 30-03</t>
  </si>
  <si>
    <t>INFORME N°101-2019</t>
  </si>
  <si>
    <t>PAGO POR DICTADO DE CURSO CIVIL 3D DEL CARTA N°031-EXP. 2332 JUAN ORLANDO RIASCOS ARMAS L-V 20:00 A 22:00 21-01-2019 AL 15-03-2019</t>
  </si>
  <si>
    <t>INFORME N°112-2019</t>
  </si>
  <si>
    <t>PAGO PERSONAL ADMINISTRATIVO MES DE MARZO EXP 3222CARTA 042</t>
  </si>
  <si>
    <t>SEGUNDO RAMIREZ SHUP</t>
  </si>
  <si>
    <t>INFORME N°114-2019</t>
  </si>
  <si>
    <t>PAGO POR DICTADO DE CURSOINFORMATICA BASICA DELA CARTA N°029-EXP. 2331 SEGUNDO ROGER RAMIREZ SHUPINGAHUA SABADOS 08.00 A 13.00 26-01-2019 AL 13-04-2019</t>
  </si>
  <si>
    <t>INFORME N°115-2019</t>
  </si>
  <si>
    <t>PAGO POR RESPONSABLE DEL EXAMEN DE SUFICIENCIA CURSO INFORMATICA BASICA ENERO FEBRERO DEL 01-01-2019 AL 28-02-2019 EXP. 3223 CARTA 044 RAYS SHIPUNGAHUA PISCO</t>
  </si>
  <si>
    <t>INFORME N°116-2019</t>
  </si>
  <si>
    <t>PAGO POR COMPETENCIA COMPUTACIONAL PARA INGRESANTES A LA UNSM GRUPO 01 Y 02 EXP. 3319 CARTA N°046 RAYS SHUPINGAHUA PISCO</t>
  </si>
  <si>
    <t>INFORME N°117-2019</t>
  </si>
  <si>
    <t>1464</t>
  </si>
  <si>
    <t>INTECI-006</t>
  </si>
  <si>
    <t>IDENTIFICADOS</t>
  </si>
  <si>
    <t>1788</t>
  </si>
  <si>
    <t>INTECI-007</t>
  </si>
  <si>
    <t>MES - ABRIL</t>
  </si>
  <si>
    <t>INFORME N°170</t>
  </si>
  <si>
    <t>PAGO PERSONAL ADMINISTRATIVO MES DE ABRIL EXP 4473 CARTA N°056</t>
  </si>
  <si>
    <t>SEGUNDO ROGER</t>
  </si>
  <si>
    <t>YAJAIRA</t>
  </si>
  <si>
    <t>PRICILIA</t>
  </si>
  <si>
    <t>PAGO TDR MELISSA CASTAÑEDA MES DE MARZO EXP. 3188</t>
  </si>
  <si>
    <t xml:space="preserve">PAGO POR DICTADO DE CURSO AUTOCAD DEL CARTA N°033-EXP. 2354 MICHELL TUESTA  SABADOS 08:00 A 14:00 19-01-2019 AL 23-03-2019 </t>
  </si>
  <si>
    <t>PAGO POR DICTADO DE CURSO INFORMATICA BASICA DEL CARTA N°026-EXP. 2327 JULIO CESAR MEGO SARMIENTO L-VIER 20:00 A 22:00 07-01 AL 01-03</t>
  </si>
  <si>
    <t>PAGO POR DICTADO DE CURSO INFORMATICA BASICA DEL CARTA N°026-EXP. 2327 JULIO CESAR  L-VIER 08:00 A 13:00 12-01 AL 30-03</t>
  </si>
  <si>
    <t>INFORME N°078-2018</t>
  </si>
  <si>
    <t>PAGO POR DICTADO DEL CURSO INFORMATIC BÁSICA FRANKO RAUL SALAZAR EXP. 2325 CARTA N°023</t>
  </si>
  <si>
    <t>Pago por evaluacion examen de suficiencia oct-dic Exp. 13317-18 c/016-cti -2018</t>
  </si>
  <si>
    <t>INFORME N°172</t>
  </si>
  <si>
    <t>PAGO POR OTRAS RETRIBUCIONES AUTORIDADES EXP. 3764 PERIODO ENERO Y FEBRERO</t>
  </si>
  <si>
    <t>INFORME N°174</t>
  </si>
  <si>
    <t>PAGO MELISSA CASTAÑEDA ABRIL EXP. 4665</t>
  </si>
  <si>
    <t>2213</t>
  </si>
  <si>
    <t>MES - MAYO</t>
  </si>
  <si>
    <t>INFORME N°196-2019</t>
  </si>
  <si>
    <t>PAGO PERSONAL ADMINISTRATIVO MES DE MAYO EXP 5433 CARTA N°075</t>
  </si>
  <si>
    <t>INFORME N°197-2019</t>
  </si>
  <si>
    <t>PAGO A PERSONAL RESPONSABLE DE LAS EVALUACIONES DE EXAMEN DE SUFICIENCIA CURSO INFORMATICA BASICA EXP. 5159 RAYS SHUPINGAHUA MARZO/ ABRIL</t>
  </si>
  <si>
    <t>2497</t>
  </si>
  <si>
    <t>3132</t>
  </si>
  <si>
    <t>INTECI-010</t>
  </si>
  <si>
    <t>INFORME N°263-2019</t>
  </si>
  <si>
    <t>PAGO POR DICTADO DE CURSO INFORMATICA BASICA DEL CARTA N°0081-EXP. 5821 RICARDO REATEGUI RUIZ L-VIER 20:00 A 22:00 15-04 AL 14-06</t>
  </si>
  <si>
    <t>PAGO POR DICTADO DE CURSO INFORMATICA BASICA DEL CARTA N°0081-EXP. 5821 RICARDO REATEGUI RUIZ SABADO 08:00 A 13:00 13-04 AL 29-06</t>
  </si>
  <si>
    <t>PAGO POR DICTADO DE CURSO INFORMATICA BASICA DEL CARTA N°0081-EXP. 5821 FRANCO RAUL SALAZAR NOVOASABADO 08 A 13:00 13-04 AL 29-06</t>
  </si>
  <si>
    <t>INFORME N°264-2019</t>
  </si>
  <si>
    <t>PAGO POR DICTADO DE CURSO INFORMATICA BASICA DEL CARTA N°0082-EXP. 5822 RAYS SHUPINGAHUA PISCO SABADO 15 A 20:00 13-04 AL 29-06</t>
  </si>
  <si>
    <t>INFORME N°265-2019</t>
  </si>
  <si>
    <t>INFORME N°266-2019</t>
  </si>
  <si>
    <t>PAGO A PERSONAL RESPONSABLE DE LAS EVALUACIONES DE EXAMEN DE SUFICIENCIA CURSO INFORMATICA BASICA EXP.6386 FRANKO RAUL SALAZAR NOVOA MAYO</t>
  </si>
  <si>
    <t>INFORME N°267-2019</t>
  </si>
  <si>
    <t>PAGO PERSONAL ADMINISTRATIVO MES DE JUNIO EXP 6652 CARTA N°075</t>
  </si>
  <si>
    <t>PAGO POR OTRAS RETRIBUCIONES AUTORIDADES EXP. 3764 PERIODO AMRZO Y ABRIL</t>
  </si>
  <si>
    <t>3863</t>
  </si>
  <si>
    <t>MES - JUNIO</t>
  </si>
  <si>
    <t>INFORME N°312</t>
  </si>
  <si>
    <t>PAGO POR DICTADO DE ASIGNATURA EXP. 7339PERIODO MAYO JULIO PERSONAL INTERNO JUAN ANTONIO REINA SAAVEDRA</t>
  </si>
  <si>
    <t>INTECI-011</t>
  </si>
  <si>
    <t>INFORME N°314</t>
  </si>
  <si>
    <t>PAGO PERSONAL ADMINISTRATIVO EXP. 7852 PERIODO JULIO CARTA 104</t>
  </si>
  <si>
    <t>YAJAIRA SALAZAR</t>
  </si>
  <si>
    <t>PRICILIA PATRICIA RIOS</t>
  </si>
  <si>
    <t>INFORME N°319</t>
  </si>
  <si>
    <t>PAGO DOCENTES EXTERNOS CURSOS INFORMATICA BASICA EXP 7278 SEGUNDO ROGER DEL 11-05 AL 27-07</t>
  </si>
  <si>
    <t>PAGO DOCENTES EXTERNOS CURSOS INFORMATICA BASICA EXP 7279 DICK DIAZ DEL 11-05 AL 27-07</t>
  </si>
  <si>
    <t>DICK DIAZ EXCEL INTERMEDIO DEL 15-06 AL 27-07</t>
  </si>
  <si>
    <t>MES - AGOSTO</t>
  </si>
  <si>
    <t>MES - JULIO</t>
  </si>
  <si>
    <t>INFORME N°326</t>
  </si>
  <si>
    <t>MANTENIMIENTO DE IMPRESORA 3D EXP. 7525</t>
  </si>
  <si>
    <t>BATERIA PARA CONTROL DE DRON HUNSAN EXP. 5902</t>
  </si>
  <si>
    <t>BATERIA Y CARGADOR DE BATERIA PARA DRONE EXP, 5903</t>
  </si>
  <si>
    <t>PILAS Y CARGADOR PARA CONTROLES DE DRONE EXP. 5900</t>
  </si>
  <si>
    <t>BATERIA PARA CONTROL DRON HUBSAN EXP. 5901</t>
  </si>
  <si>
    <t>4352</t>
  </si>
  <si>
    <t>4847</t>
  </si>
  <si>
    <t>INFORME 349</t>
  </si>
  <si>
    <t>PAGO PERSONAL DOCENTEEXTERNO EXP. 8722 CARTA 109 ETABS DEL 22-06 AL 03-08 LLENER REATEGUI</t>
  </si>
  <si>
    <t>PAGO DOCENTEEXTERNO EXP. 8726 CARTA 113 FISI CTI INFORMATICA BASICA DEL 25-06 AL 16-08 JULIO CESAR MEGO</t>
  </si>
  <si>
    <t>INFORME 350</t>
  </si>
  <si>
    <t>PAGO PERSONAL RESPONSABLE DE EVALUACIONESDE EXAMEN DE SUFICIENCIA DELCURSO DEI NFORMATICA BASICA 03-06 AL 28-06 EXP 8724 CARTA 111 FRANKO SALAZAR</t>
  </si>
  <si>
    <t>PAGO PESONAL RESPONSALE DE EVALUACIONES DE EXAMENDE SUICIANCIA DELCURSO INORMATICA BASICA EXP. 8727 CARTA 114 DEL 01-07 AL 31-07 RICARDO REATEGUI</t>
  </si>
  <si>
    <t>INFOREM 351</t>
  </si>
  <si>
    <t xml:space="preserve">PAGO A RESPONSABLE DE PROMOCION DE CURSOS QUE OFRECE EL CENTRO EN MOYOBAMBA EXP. 8725 CARTA 111 MARIA AURELIA TORRES </t>
  </si>
  <si>
    <t>PAGO PERSONAL ADMINISTRATIVO EXTERNO PERIODO AGOSTO PAO PROYECTDO EXP. 9114 CARTA 121</t>
  </si>
  <si>
    <t>PRICILIA RIOS</t>
  </si>
  <si>
    <t>INFROME N°378</t>
  </si>
  <si>
    <t xml:space="preserve">PAGO PERSONAL DOCENTE CTI MOYO INFORMATICA BASICA 3 GRUPOS PERIODO JUNIO SETIEMBRE EXP. 8723 CARTA 110 INTERNO ERMESTO PEÑA ROBALINO </t>
  </si>
  <si>
    <t>5152</t>
  </si>
  <si>
    <t>INTECI-015</t>
  </si>
  <si>
    <t>INFORME 382</t>
  </si>
  <si>
    <t xml:space="preserve">PAGO A COMISIÓN AUTORIDADES PERIODO MAYO - JUNIO EXP. 7813 OFICIO 195 </t>
  </si>
  <si>
    <t>EDWIN HERANNDEZ</t>
  </si>
  <si>
    <t>ALBERTO ALV</t>
  </si>
  <si>
    <t>INFORME 401</t>
  </si>
  <si>
    <t>CONFECCION DE CERTIFICADOSN CARTA 120 EXP. 9113</t>
  </si>
  <si>
    <t>5460</t>
  </si>
  <si>
    <t>INTECI-016</t>
  </si>
  <si>
    <t>5461</t>
  </si>
  <si>
    <t>INFORME 407</t>
  </si>
  <si>
    <t>PAGO A DOCENTE DICTADO DE CURSO INFORMATICA BASICA EXP. 10101 CARTA 148 DOS GUPOS DE  10 A 12 Y DE 04 A 6 ERNESTO PEÑA ROBALINO</t>
  </si>
  <si>
    <t>PAGO DE PERSONAL ADMINISTRATIVO EXP. 10281 CARTA 155 PAO PROYECTADO CERT. 2443, 2444, 2445</t>
  </si>
  <si>
    <t>INFORME 428</t>
  </si>
  <si>
    <t>PAGO A PERSONAL RESPONSABLE DE MARKETING Y PUBLICIDAD INTEGRAL EXP. 10010 CARTA 146</t>
  </si>
  <si>
    <t>PAGO A PESONAL DOCENTE EXTERNO DICTADO CURSO TALLER USO DE SISTEMAS EN GESTION DE BROTES EPIDEMICOS EXP. 10261 CARTA 150</t>
  </si>
  <si>
    <t>PAGO  A PERSONAL QUE LABORA BAJO LA MODALIDAD DE PROVEEDOR FILIAL MOYOBAMBA PROMOCION E INSCRIPCION EXP. 10262 CARTA 151</t>
  </si>
  <si>
    <t>PAGO POR ATENCION CON REFRIGERIOS EN EL TALLES DEL 04 AL 06 DE SETIEMBRE EXP. 10263 CARTA 153</t>
  </si>
  <si>
    <t>PAGO A PERSONAL RESPONSABLE DE LAS EVALAUCIONES DE EXAMEN DE SUFICIENCIA, AGOSTO FRANKO RAUL EXP. 10323 CARTA 157</t>
  </si>
  <si>
    <t>6006</t>
  </si>
  <si>
    <t>6239</t>
  </si>
  <si>
    <t>MES - OCTUBRE</t>
  </si>
  <si>
    <t>INFORME 443</t>
  </si>
  <si>
    <t xml:space="preserve">DICTADO CURSO SIAF PRACTICO EXP. 10559 CARTA 161/FISI-CTI DEL 0308 AL 05-10 DOCENTE INTERNO JUAN ANTONIO REYNA </t>
  </si>
  <si>
    <t>INFORME 444</t>
  </si>
  <si>
    <t>DICTADO CURSO INFORMATICA BASICA DE 6 A 8 PM DEL 12 DE AGOSTO AL 04 DE OCTUBRE EXP. 10558 CARTA 162DOCENT EXTERNO JUALIO MEGO SARMIENTO</t>
  </si>
  <si>
    <t>INFORME 445</t>
  </si>
  <si>
    <t>PAGO A PESONAL TDR SOPORTE TECNICO PERIODO ENERO SETIEMBRE EXP. 10560 CARTA 163 JOSE ELAR VILLANUEVA</t>
  </si>
  <si>
    <t>FACTURA TRANSFERENCIA CURSOSENASA</t>
  </si>
  <si>
    <t>SENASA</t>
  </si>
  <si>
    <t>INFORME 457</t>
  </si>
  <si>
    <t>PAGO A COMISION DE OTRAS RETRIBUCIONES DIRECTIVOS JULIO Y AGOSTO EXP. 10367 OFICIO N°238</t>
  </si>
  <si>
    <t>AUGUSTO HERNANDEZ</t>
  </si>
  <si>
    <t>INFORME 464</t>
  </si>
  <si>
    <t>PAGO PERSONAL ADMINISTRATIVO PERIODO OCTUBRE EXP. 11647 CARTA 104</t>
  </si>
  <si>
    <t>INFORME 467</t>
  </si>
  <si>
    <t>PAGO A RESPONSABLE DE PROMOCION DE CURSOS CTI SEDE MOYOBAMBA EXP. 11649 CARTA 236 MARAI AURELIA TORRES RAMOS SETIEMBRE</t>
  </si>
  <si>
    <t>INFORME 473</t>
  </si>
  <si>
    <t>PAGO PERSONAL DOCENTE CTI MOYO QUE DICTA EL CURSO DE INFORMATICA BASICA DEL 12-08 AL 20/09 L-V DE 20: A 22: EXP. 11648 CARTA 235-CTI ERNESTO PEÑA ROBALINO</t>
  </si>
  <si>
    <t>6762</t>
  </si>
  <si>
    <t>7134</t>
  </si>
  <si>
    <t>NO IDENTIFICADOS</t>
  </si>
  <si>
    <t>FACTURA 001-140 SENASA</t>
  </si>
  <si>
    <t>FACTURA ALQUILER INPE</t>
  </si>
  <si>
    <t>INFORME S/N</t>
  </si>
  <si>
    <t>PAGO PERSONAL ADMINISTRATIVO PERIODO NOVIEMBRE PAO PROYECTADO CERTI 3679, 3680, 3681 CARTA N°251</t>
  </si>
  <si>
    <t>INFORME N°496</t>
  </si>
  <si>
    <t xml:space="preserve">PAGO PERSONAL DOCENTE INTERNO JUAN ANTONIO REINA INFORMATICA BASICA CARTA 247 FISI CTI DEL 31/08 AL 16/11 </t>
  </si>
  <si>
    <t>INFORME N°499</t>
  </si>
  <si>
    <r>
      <t xml:space="preserve">PAGO PERSONAL DOCENTE EXTERNO CURSO INFORMATICA BASICA DEL 16/09 AL 11/11 L-V DE 8 A 10 PM EXP. 12737 </t>
    </r>
    <r>
      <rPr>
        <b/>
        <sz val="9"/>
        <color theme="1"/>
        <rFont val="Calibri"/>
        <family val="2"/>
        <scheme val="minor"/>
      </rPr>
      <t>FRANKO SALAZAR</t>
    </r>
  </si>
  <si>
    <t>PAGO DOCENTE EXTERNOCURSO INFORMATICA BASICA DEL 24/08 AL 09/11 SABADOS DE 08 A 01 P, EXP. 12338</t>
  </si>
  <si>
    <r>
      <t xml:space="preserve">PAGO DOCENTE EXTERNO CURSO INFORMATICA BASICA DEL 14/09 AL 30/11 SABADOS 08-13 SABADOS </t>
    </r>
    <r>
      <rPr>
        <b/>
        <sz val="9"/>
        <color theme="1"/>
        <rFont val="Calibri"/>
        <family val="2"/>
        <scheme val="minor"/>
      </rPr>
      <t>DICK DIAZ DELGADO EXP. 12340</t>
    </r>
  </si>
  <si>
    <t>PAGO DOCENTE EXTERNO CURSO INFORMATICA BASICA DEL 14/09 AL 30/11 SABADOS 08-13 SABADOS DICK DIAZ DELGADO EXP. 12340 15 A 20</t>
  </si>
  <si>
    <t>INFORME 502</t>
  </si>
  <si>
    <t>PAGO AUTORIDADESP ERIODO SETIEMBRE -OCTUBRE EXP. 12716 OFICIO N°268</t>
  </si>
  <si>
    <t>MES - NOVIEMBRE</t>
  </si>
  <si>
    <t>INFORME 508</t>
  </si>
  <si>
    <r>
      <t xml:space="preserve">PAGO COORDINADOR DEM OYOBABA EXP. 13422 CARTA 261 </t>
    </r>
    <r>
      <rPr>
        <b/>
        <sz val="9"/>
        <color theme="1"/>
        <rFont val="Calibri"/>
        <family val="2"/>
        <scheme val="minor"/>
      </rPr>
      <t>RONAL JULCA URQUIZA</t>
    </r>
  </si>
  <si>
    <t>7798</t>
  </si>
  <si>
    <t>8223</t>
  </si>
  <si>
    <t>INFORME 512</t>
  </si>
  <si>
    <t>PAGO PERSONAL ADMINISTRATIVO TDR EXP. 13630 CARTA 267 DICIEMBRE</t>
  </si>
  <si>
    <t>8810</t>
  </si>
  <si>
    <t>9045</t>
  </si>
  <si>
    <t>INTECI-026</t>
  </si>
  <si>
    <t>anulado</t>
  </si>
  <si>
    <t>INFORME 023</t>
  </si>
  <si>
    <r>
      <t xml:space="preserve">PAGO A DOCENTE EXTERNO FILIAL MOYOBAMBA DEL 21 DE OCTUBRE AL 13 DE DICIEMBRE CURSO INFORMATICA BASICA PERIODO 2019 EXP. 418 CARTA 004-2020 </t>
    </r>
    <r>
      <rPr>
        <b/>
        <sz val="9"/>
        <color theme="1"/>
        <rFont val="Calibri"/>
        <family val="2"/>
        <scheme val="minor"/>
      </rPr>
      <t>MARY LUZ BABILONIA TORRES</t>
    </r>
  </si>
  <si>
    <r>
      <t xml:space="preserve">PAGO DOCENTE EXTERNO TPP CURSO INFORMATICA BASICA EXP. 417 CARTA 005-2020 DEL 19 DE OCTUBRE AL 14 DE DICIEMBRE EXOP. 417 </t>
    </r>
    <r>
      <rPr>
        <b/>
        <sz val="9"/>
        <color theme="1"/>
        <rFont val="Calibri"/>
        <family val="2"/>
        <scheme val="minor"/>
      </rPr>
      <t xml:space="preserve">SEGUNDO RAMIREZ </t>
    </r>
  </si>
  <si>
    <r>
      <t xml:space="preserve">PAGO DOCENTE EVALUADOR EXAMEN DE SUFICIENCIA EXP. 416 CARTA 006-2020 DEL 05 DE AGOSTO AL 16 DE SETIEMBRE; Y DEL 17 DE SETIEMBRE AL 10 DE OCTUBRE TPP </t>
    </r>
    <r>
      <rPr>
        <b/>
        <sz val="9"/>
        <color theme="1"/>
        <rFont val="Calibri"/>
        <family val="2"/>
        <scheme val="minor"/>
      </rPr>
      <t>RICARDO REATEGUI RUIZ</t>
    </r>
  </si>
  <si>
    <r>
      <t xml:space="preserve">PAGO DOCENTE EXTERNO EVALUADOR EXAMEN DE SUFICIENCIA DEL 11 DE OCTUBRE AL 12 DE OCTUBRE EXP. 415 CARTA 007 INFORMATCIA BASICA </t>
    </r>
    <r>
      <rPr>
        <b/>
        <sz val="9"/>
        <color theme="1"/>
        <rFont val="Calibri"/>
        <family val="2"/>
        <scheme val="minor"/>
      </rPr>
      <t>SANDRA GRANDEZ ALVA</t>
    </r>
  </si>
  <si>
    <r>
      <t>PAGO A PROVEEDOR SERVICIO TEMPORDAL RESONSABLE ELABORACION DE ESTRATEGIAS DE POSICIONAMIENTO EXP. 414 CARTA 008-200</t>
    </r>
    <r>
      <rPr>
        <b/>
        <sz val="9"/>
        <color theme="1"/>
        <rFont val="Calibri"/>
        <family val="2"/>
        <scheme val="minor"/>
      </rPr>
      <t xml:space="preserve"> DICK DIAZ DELGADO</t>
    </r>
  </si>
  <si>
    <t>INFORME 024</t>
  </si>
  <si>
    <t xml:space="preserve">PAGO RETRIBUCIONES AUTRIDADES PERIODO NOVIEMBRE EICIEMBRE EXP. 14568 COFICIO N°283-2019-FISI-CTI </t>
  </si>
  <si>
    <t>INFORME 040-2020</t>
  </si>
  <si>
    <r>
      <t xml:space="preserve">PAGO A PERSONAL DOCENTE INTERNO CURSO INFORMATICA BASICA EXP. 413 CARTA 009 DICTADO DEL 09 DE DICIEMBRE AL 15 DE ENERO 2020 </t>
    </r>
    <r>
      <rPr>
        <b/>
        <sz val="9"/>
        <color theme="1"/>
        <rFont val="Calibri"/>
        <family val="2"/>
        <scheme val="minor"/>
      </rPr>
      <t>JUAN ANTONIO REINA</t>
    </r>
  </si>
  <si>
    <r>
      <t xml:space="preserve">PAGO A PERSONAL TDR PERIODO ENERO PAO PROYECTADO EXP. 1431 CARTA 0250- CTI </t>
    </r>
    <r>
      <rPr>
        <b/>
        <sz val="9"/>
        <rFont val="Arial"/>
        <family val="2"/>
      </rPr>
      <t>SEGUNDO RAMIREZ SHUPI</t>
    </r>
  </si>
  <si>
    <r>
      <t xml:space="preserve">PAGO PERSONAL TDR PERIODO ENERO PAO PROYECTADO EXP. 431 CARTA 020 CTI </t>
    </r>
    <r>
      <rPr>
        <b/>
        <sz val="9"/>
        <rFont val="Arial"/>
        <family val="2"/>
      </rPr>
      <t>SANDRA GRANDEZ ALVA</t>
    </r>
  </si>
  <si>
    <r>
      <t xml:space="preserve">PAGO PERSONAL TDR PERIODO ENERO PAO TRPUECTATOD EXP. 1431 CARTA 020 </t>
    </r>
    <r>
      <rPr>
        <b/>
        <sz val="9"/>
        <rFont val="Arial"/>
        <family val="2"/>
      </rPr>
      <t>YAJAIRA SALAZAR</t>
    </r>
  </si>
  <si>
    <r>
      <t>PAGO PERSONAL TDR PERIODO ENERO PAO PRROYECTADO EXP. 1431</t>
    </r>
    <r>
      <rPr>
        <b/>
        <sz val="9"/>
        <rFont val="Arial"/>
        <family val="2"/>
      </rPr>
      <t xml:space="preserve"> PRICILIA RIOS ALEGRIA  </t>
    </r>
  </si>
  <si>
    <t>0044</t>
  </si>
  <si>
    <t>0302</t>
  </si>
  <si>
    <t>0571</t>
  </si>
  <si>
    <r>
      <t xml:space="preserve">PAGO A PERSONAL TDR PERIODO FEBRERO PAO PROYECTADO EXP. 1735 CARTA 0250- CTI </t>
    </r>
    <r>
      <rPr>
        <b/>
        <sz val="9"/>
        <rFont val="Arial"/>
        <family val="2"/>
      </rPr>
      <t>SEGUNDO RAMIREZ SHUPI</t>
    </r>
  </si>
  <si>
    <r>
      <t xml:space="preserve">PAGO PERSONAL TDR PERIODO FEBRERO PAO PROYECTADO EXP. 1735 CARTA 020 CTI </t>
    </r>
    <r>
      <rPr>
        <b/>
        <sz val="9"/>
        <rFont val="Arial"/>
        <family val="2"/>
      </rPr>
      <t>SANDRA GRANDEZ ALVA</t>
    </r>
  </si>
  <si>
    <r>
      <t xml:space="preserve">PAGO PERSONAL TDR PERIODO FEBRERO PAO TRPUECTATOD EXP. 1735 CARTA 030 </t>
    </r>
    <r>
      <rPr>
        <b/>
        <sz val="9"/>
        <rFont val="Arial"/>
        <family val="2"/>
      </rPr>
      <t>YAJAIRA SALAZAR</t>
    </r>
  </si>
  <si>
    <r>
      <t>PAGO PERSONAL TDR PERIODO FEBRERO PAO PRROYECTADO EXP. 1735</t>
    </r>
    <r>
      <rPr>
        <b/>
        <sz val="9"/>
        <rFont val="Arial"/>
        <family val="2"/>
      </rPr>
      <t xml:space="preserve"> PRICILIA RIOS ALEGRIA  </t>
    </r>
  </si>
  <si>
    <t>INFORME N°093</t>
  </si>
  <si>
    <t>PAGO PERSONAL DOCENTE EXTERNO PERIODO 06/01 AL 31/01 2020 INORMATICA BASICA 11: A 14:00 LV DOCENTES BACHILELRATO EXP. 1731 CARTA 026</t>
  </si>
  <si>
    <r>
      <t xml:space="preserve">PAGO DOCENTE EXTERNO PERIODO DEL 06/01 AL 07/02 INFORMATICA BASICA DOCENTES DE BACHILLERATO EXP. 1732 CARTA 027 </t>
    </r>
    <r>
      <rPr>
        <b/>
        <sz val="9"/>
        <rFont val="Arial"/>
        <family val="2"/>
      </rPr>
      <t>SANDRA GRANDEZ ALVA</t>
    </r>
  </si>
  <si>
    <r>
      <t xml:space="preserve">PAGO DOCENTE EXTERNO PERIODO DEL 06/01 AL 07/03 INFORMATICA BASCA DOCENTES BACHILLERATO FEH </t>
    </r>
    <r>
      <rPr>
        <b/>
        <sz val="9"/>
        <rFont val="Arial"/>
        <family val="2"/>
      </rPr>
      <t>FRANKO SALAZAR EXP. 1733 CARTA 028</t>
    </r>
  </si>
  <si>
    <r>
      <t xml:space="preserve">PAGO DOCENTE CURSO INFORMATICA BASICA DEL 07/01 AL 13/02 DOCENTES BACHILLERATO FEH </t>
    </r>
    <r>
      <rPr>
        <b/>
        <sz val="9"/>
        <rFont val="Arial"/>
        <family val="2"/>
      </rPr>
      <t>EVERGISTO SARE EXP. 1734 CARTA 029</t>
    </r>
  </si>
  <si>
    <t>0852</t>
  </si>
  <si>
    <t>INFORME 120</t>
  </si>
  <si>
    <t>PAGO A PERSONAL TDR PERIODO FEBRERO  EXP. 2268 CARTA 040- CTI ANA MARIA SAMTA MARIA ARISTA</t>
  </si>
  <si>
    <t>PAGO PERSONAL DOCENTE EXTERNO PERIODO 14/01 AL 10/03 2020 INORMATICA BASICA 08: A 10:00 LV  EXP. 2269 CARTA 041 ROBERT BRYAN BERRU PINEDO</t>
  </si>
  <si>
    <t>PAGO PERSONAL DOCENTE EXTERNO PERIODO 14/01 AL 10/03 2020 INORMATICA BASICA 10: A 11:30 LV  EXP. 2269 CARTA 042 FRANKO RAUL SALAZAR NOVOA</t>
  </si>
  <si>
    <t>PAGO PERSONAL DOCENTE EXTERNO PERIODO 13/01 AL 06/03 2020 INORMATICA BASICA 16: A 18:00 LV  EXP. 2271 CARTA 043 GUSTAVO RIOS QUEVEDO</t>
  </si>
  <si>
    <t>PAGO PERSONAL DOCENTE EXTERNO PERIODO 13/01 AL 06/03 2020 INORMATICA BASICA 16: A 18:00 LV  EXP. 2272 CARTA 044 JUAN ORLANDO RIASCOS ARMAS</t>
  </si>
  <si>
    <t>PAGO PERSONAL DOCENTE EXTERNO PERIODO 13/01 AL 06/03 2020 INORMATICA BASICA 20: A 22:00 LV  EXP. 2273 CARTA 045 JOSE MANUEL DIAZ AYALA</t>
  </si>
  <si>
    <t>PAGO PERSONAL DOCENTE EXTERNO PERIODO 15/01 AL 10/03 2020 INORMATICA BASICA 20: A 22:00 LV  EXP. 2274 CARTA 046 RICARDO REATEGUI RUIZ</t>
  </si>
  <si>
    <t>INFORME 121</t>
  </si>
  <si>
    <t xml:space="preserve">MEMORANDO </t>
  </si>
  <si>
    <r>
      <t xml:space="preserve">PAGO A PERSONAL TDR PERIODO MARZO PAO PROYECTADO EXP. 1735 CARTA 0250- CTI </t>
    </r>
    <r>
      <rPr>
        <b/>
        <sz val="9"/>
        <color rgb="FFFF0000"/>
        <rFont val="Arial"/>
        <family val="2"/>
      </rPr>
      <t>SEGUNDO RAMIREZ SHUPI</t>
    </r>
  </si>
  <si>
    <r>
      <t xml:space="preserve">PAGO PERSONAL TDR PERIODO MARZO PAO PROYECTADO EXP. 1735 CARTA 020 CTI </t>
    </r>
    <r>
      <rPr>
        <b/>
        <sz val="9"/>
        <color rgb="FFFF0000"/>
        <rFont val="Arial"/>
        <family val="2"/>
      </rPr>
      <t>SANDRA GRANDEZ ALVA</t>
    </r>
  </si>
  <si>
    <r>
      <t xml:space="preserve">PAGO PERSONAL TDR PERIODO MARZO PAO TRPUECTATOD EXP. 1735 CARTA 030 </t>
    </r>
    <r>
      <rPr>
        <b/>
        <sz val="9"/>
        <color rgb="FFFF0000"/>
        <rFont val="Arial"/>
        <family val="2"/>
      </rPr>
      <t>YAJAIRA SALAZAR</t>
    </r>
  </si>
  <si>
    <r>
      <t>PAGO PERSONAL TDR PERIODO MARZO PAO PRROYECTADO EXP. 1735</t>
    </r>
    <r>
      <rPr>
        <b/>
        <sz val="9"/>
        <color rgb="FFFF0000"/>
        <rFont val="Arial"/>
        <family val="2"/>
      </rPr>
      <t xml:space="preserve"> PRICILIA RIOS ALEGRIA  </t>
    </r>
  </si>
  <si>
    <t>conciliado 13-04-20</t>
  </si>
  <si>
    <t>PAGO PERSONAL DOCENTE EXTERNO PERIODO 18/01 AL 04/04 2020 INORMATICA BASICA 08: A 13:00 SABADOS  ABNER PURIFICACIÓN CAMPOJÓ VÁSQUEZ</t>
  </si>
  <si>
    <t>PAGO PERSONAL DOCENTE EXTERNO PERIODO 11/01 AL 28/03 2020 INORMATICA BASICA 08: A 13:00 SABADOS  RICARDO DAIRIKU REÁTEGUI RUIZ</t>
  </si>
  <si>
    <t>PAGO PERSONAL DOCENTE EXTERNO PERIODO 11/01 AL 28/03 2020 INORMATICA BASICA 08: A 13:00 SABADOS  FRANCKO RAÚL SALAZAR NOVOA</t>
  </si>
  <si>
    <t>PAGO PERSONAL DOCENTE EXTERNO PERIODO 11/01 AL 28/03 2020 INORMATICA BASICA 15: A 20:00 SABADOS  JUAN ORLANDO RIASCOS ARMAS</t>
  </si>
  <si>
    <t>PAGO PERSONAL DOCENTE EXTERNO PERIODO 11/01 AL 28/03 2020 INORMATICA BASICA 15: A 20:00 SABADOS  JULIO CÉSAR MEGO SARMIENTO</t>
  </si>
  <si>
    <t>PAGO PERSONAL DOCENTE EXTERNO PERIODO 22/02 AL 11/04 2020 EXCEL INTERMEDIO/AVANZADO 08: A 13:00 SABADOS  DICK DIAZ DELGADO</t>
  </si>
  <si>
    <t>PAGO PERSONAL DOCENTE EXTERNO PERIODO 01/02 AL 18/04 2020 INORMATICA BASICA 15: A 20:00 SABADOS  RAYS CHRISTIAN SHUPINGAHU A PISCO</t>
  </si>
  <si>
    <t>PAGO PERSONAL DOCENTE EXTERNO PERIODO 15/01 AL 26/02 2020 INORMATICA BASICA 08:00 A 13:00 MIER, DOM  PEDRO OLORTEGUI RÍOS</t>
  </si>
  <si>
    <r>
      <t xml:space="preserve">PAGO PERSONAL TDR PERIODO ABRIL OFICIO N° 064 CTI </t>
    </r>
    <r>
      <rPr>
        <b/>
        <sz val="9"/>
        <color rgb="FFFF0000"/>
        <rFont val="Arial"/>
        <family val="2"/>
      </rPr>
      <t>SANDRA GRANDEZ ALVA</t>
    </r>
  </si>
  <si>
    <r>
      <t xml:space="preserve">PAGO PERSONAL TDR PERIODO ABRIL OFICIO N° 064 </t>
    </r>
    <r>
      <rPr>
        <b/>
        <sz val="9"/>
        <color rgb="FFFF0000"/>
        <rFont val="Arial"/>
        <family val="2"/>
      </rPr>
      <t>YAJAIRA SALAZAR</t>
    </r>
  </si>
  <si>
    <r>
      <t xml:space="preserve">PAGO PERSONAL TDR PERIODO ABRIL OFICIO N° 064 </t>
    </r>
    <r>
      <rPr>
        <b/>
        <sz val="9"/>
        <color rgb="FFFF0000"/>
        <rFont val="Arial"/>
        <family val="2"/>
      </rPr>
      <t xml:space="preserve"> PRICILIA RIOS ALEGRIA  </t>
    </r>
  </si>
  <si>
    <r>
      <t xml:space="preserve">PAGO A PERSONAL TDR PERIODO ABRIL OFICIO N° 064- CTI </t>
    </r>
    <r>
      <rPr>
        <b/>
        <sz val="9"/>
        <color rgb="FFFF0000"/>
        <rFont val="Arial"/>
        <family val="2"/>
      </rPr>
      <t>SEGUNDO RAMIREZ SHUPI</t>
    </r>
  </si>
  <si>
    <r>
      <t xml:space="preserve">PAGO A PERSONAL TDR PERIODO MARZO -ABRIL OFICIO N° 064- CTI </t>
    </r>
    <r>
      <rPr>
        <b/>
        <sz val="9"/>
        <rFont val="Arial"/>
        <family val="2"/>
      </rPr>
      <t>ANA MARIA SAMTA MARIA ARISTA</t>
    </r>
  </si>
  <si>
    <t>informe 134</t>
  </si>
  <si>
    <t xml:space="preserve">pago a comision según pla nde trabajo 2020 solo dos miembros oficio 064 periodo enero y ferbero </t>
  </si>
  <si>
    <t>doctor galvez</t>
  </si>
  <si>
    <t>edwin hernandez</t>
  </si>
  <si>
    <t>INFORME 144</t>
  </si>
  <si>
    <t xml:space="preserve">PAGO A PERSONAL DOCENTE JUAN RIASCOS PERIODO ENERO MARZO EXP. 2867 OFICIO 073 </t>
  </si>
  <si>
    <t>JUAN RIASCOS</t>
  </si>
  <si>
    <t>INFORME 151</t>
  </si>
  <si>
    <t xml:space="preserve">PAGO POR LA CONFECCION DE MASCARILLAS DE PLASTICOS PARA LOS DIFERENTES HOSPITALES ESTUDIANTES VIGILANTES EXP. 2941 OFICIO 066 HARRIS </t>
  </si>
  <si>
    <t>INFORME 153</t>
  </si>
  <si>
    <t>PAGO A PERSONAL DOCENTE RESPONSABLE DE LA EVALUACION DE EXAMEN DE SUFICIENCIA POR TRES PERIODOS DICIEMBRE HASTA MARZO EXP. 2772 OFCIO 069 RAYS SHUPINGAHUA</t>
  </si>
  <si>
    <t>INTECI-0</t>
  </si>
  <si>
    <t>INTECI-1</t>
  </si>
  <si>
    <t>INTECI-2</t>
  </si>
  <si>
    <t>INTECI-3</t>
  </si>
  <si>
    <t>INTECI-4</t>
  </si>
  <si>
    <t>PAGO PERSONAL ADMINISTRATIVO PERIODO MAYO</t>
  </si>
  <si>
    <t>INFORME 171</t>
  </si>
  <si>
    <t>PAGO PERSONAL DOCENTE EXTERNO QUE DICTO EL CURSO DE INFORMATICA BASICA DE FORMA VITUAL DE MAYO A JUNIO  SEGUNDO ROGER RAMIREZ SHUPI. EXP. 3150 OFIICIO 084-CTI</t>
  </si>
  <si>
    <t>conciliado 25-07-20</t>
  </si>
  <si>
    <t>CONCILIADO EL 25-07-20</t>
  </si>
  <si>
    <t>CONCILIADO EL25-07-20</t>
  </si>
  <si>
    <t>CONCILIADO 25-07-20</t>
  </si>
  <si>
    <t>INFORME 172</t>
  </si>
  <si>
    <t>OFICIO 077 FISI</t>
  </si>
  <si>
    <t>PAGO PERSONAL TDR JUNIO CTI SEGUNDO ROGER</t>
  </si>
  <si>
    <t>PRICILIA PATRICIA</t>
  </si>
  <si>
    <t>AVI MONICA OFICIO 079</t>
  </si>
  <si>
    <t>ELSIE CASTILLO OFICIO 080</t>
  </si>
  <si>
    <t>PAGO PERSONAL DOCENTE INTERNO QUE DICTO EL CURSO DE INFORMATICA BASICA DE FORMA VITUAL DE JUNIO A JULIO  JUAN ORLANDO RIASCOS OFIICIO 0090-CTI</t>
  </si>
  <si>
    <t>PAGO ANA SANTA MARIA</t>
  </si>
  <si>
    <t>AGOSTO</t>
  </si>
  <si>
    <t>INFORME 181</t>
  </si>
  <si>
    <t>OFICIO 092, 094, 096</t>
  </si>
  <si>
    <t>PAGO PERSONAL TDR JULIO CTI SEGUNDO ROGER</t>
  </si>
  <si>
    <t>INFORME 182</t>
  </si>
  <si>
    <t>PAGO DOCENTE POR EL DITADO DE CURSO INFORMATI BASICA VIRTUAL  DE 7 A 9 PM DEL 08 DE JUNIO AL 17 DE JULIO RAYS SHUPINGAHUA</t>
  </si>
  <si>
    <t>OFICIO 104</t>
  </si>
  <si>
    <t>OFICIO 102</t>
  </si>
  <si>
    <t xml:space="preserve">APGO DOCENTE CURSO INFORMATICA BASICA FORMA VIRTUAL DEL 15 DE JUNIO AL 24 DE JULIO EVERGISTO SARE LARA </t>
  </si>
  <si>
    <t>OFICIO 105</t>
  </si>
  <si>
    <t xml:space="preserve">PAGO DOCENTE EXTERNO POR EL CURSO DE INFORMATICA BASICA FORMA VIRTUAL DEL 29 DE JUNIO AL 07 DE AGOSTO EVERGISTO SARE LARA </t>
  </si>
  <si>
    <t>INFORME 191</t>
  </si>
  <si>
    <t>PAGO PERSONAL TDRAGOSTO  CTI SEGUNDO ROGER</t>
  </si>
  <si>
    <t>INFORME 202</t>
  </si>
  <si>
    <t xml:space="preserve">PAGO PRO EVALUACION DE EXAMEN DE SUFICIENCIA MARZO A JUNIO OFICIO 113 RAYSSHUPINGAHUA </t>
  </si>
  <si>
    <t>MES - SETIEMBRE</t>
  </si>
  <si>
    <t>SETIEMBRE</t>
  </si>
  <si>
    <t>INFORME 222</t>
  </si>
  <si>
    <t>PAGO PERSONAL TDR SETIEMBRE  CTI SEGUNDO ROGER</t>
  </si>
  <si>
    <t>PAGO A PERSONAL DOCENT EXTERNO DICTADO CURSO INFORMATICA BASICA OFICIO 116 JULIO MEGO EXP. 4111</t>
  </si>
  <si>
    <t>PAGO AUTORIDADES OFICIO 112-FISI EXP. 3958 MARZO JUNIO</t>
  </si>
  <si>
    <t>INFORME 210</t>
  </si>
  <si>
    <t>EDWIN</t>
  </si>
  <si>
    <t>HUMBERTO</t>
  </si>
  <si>
    <t>INFORME 223</t>
  </si>
  <si>
    <t>REPORTADO 440</t>
  </si>
  <si>
    <t>CONCILIADO 13-11-20</t>
  </si>
  <si>
    <t>CONCILIADO EL 13-11-20</t>
  </si>
  <si>
    <t>INGRESO JULIO</t>
  </si>
  <si>
    <t>INGRESO AGOSTO</t>
  </si>
  <si>
    <t>NO EXISTIA REPORTE 144</t>
  </si>
  <si>
    <t>NO EXISTIA REPORTE 220</t>
  </si>
  <si>
    <t>INGRESOS MES DE SETIEMBRE</t>
  </si>
  <si>
    <t>INGRESO  SETIEMBRE</t>
  </si>
  <si>
    <t>INGRESO MES DE OCTUBRE- TRANFERENCIA</t>
  </si>
  <si>
    <t xml:space="preserve">PAGO PERSONAL DICENTE CURSO INFORMATICA BASICA OFICIO 130-FISI ROBERT BERRU EXPP 4518 </t>
  </si>
  <si>
    <t>PAG PERSONAL RESPONSABLE EVALUACION DE EXAMEN DE SUFICIENCIA OFICIO 143 JULIO SETIEMPRE EXP 4900 ROBERT BERRU PINEDO</t>
  </si>
  <si>
    <t>PAGO A COMISION DIRECTOR Y DECANO PO PERIODO JULIO - AGOSTO OFICIO 142 EXP. 4894</t>
  </si>
  <si>
    <t>PAGO PERSONAL TDR OCTUBRE CTI SEGUNDO ROGER</t>
  </si>
  <si>
    <t xml:space="preserve">APGO DOCENTE INTERNO DICTADO DE CURO INFORMATICA BASICA OFICIO 153 - FISI EXP. 4989 SETIEMBRE A OCTUBRE JUAN ANTONIO REYNA </t>
  </si>
  <si>
    <t xml:space="preserve">APGO DOCENTE EXTERNO DICTADO DE CURO INFORMATICA BASICA OFICIO 159 AGOSTO - OCTUBRE EXP. 5177 GUSTAVO RIOS QUEVEDO </t>
  </si>
  <si>
    <t xml:space="preserve">PAGO DOCENTE EXTERNO DICTADO CURSO INFORMATICA BASICA OFICIO 152 EXP 4985 SETIEMBRE OCTUBRE EVERGISTO SARE LARE </t>
  </si>
  <si>
    <t xml:space="preserve">PAGO DOCENTE INTERNO DICTADO CURSO INFORMATICA BASICA 29-08 AL 31-10 OFICIO 160 - JUAN RIASCOS </t>
  </si>
  <si>
    <t>PAGO PERSONAL TDR NOVIEMBRE  CTI SEGUNDO ROGER</t>
  </si>
  <si>
    <t>PAGO A COMISION DIRECTOR Y DECANO PO PERIODO SETIEMBRE - OCTUBRE OFICIO 171 EXP. 5643</t>
  </si>
  <si>
    <r>
      <t xml:space="preserve">PAGO DOCENTE INTERNO EXCEL INTERMEDIO OFICIO 176-2020-FISI OCTUBRE - NOBIEMBRE OFICIO 176-2020-FISIEXDP. 5679 </t>
    </r>
    <r>
      <rPr>
        <b/>
        <sz val="9"/>
        <color theme="1"/>
        <rFont val="Calibri"/>
        <family val="2"/>
        <scheme val="minor"/>
      </rPr>
      <t xml:space="preserve">JUAN RIASCOS ARMAS </t>
    </r>
  </si>
  <si>
    <r>
      <t>PAGO DOCENTE EXTERNO INFORMATICA BASICA PERIODO OPCOTUBRE NOVIEMBRE OFICIO 180 EXP. 5724 - S</t>
    </r>
    <r>
      <rPr>
        <b/>
        <sz val="9"/>
        <color theme="1"/>
        <rFont val="Calibri"/>
        <family val="2"/>
        <scheme val="minor"/>
      </rPr>
      <t xml:space="preserve">R RAYS SGUPINGAHUA PISCO </t>
    </r>
  </si>
  <si>
    <t>CONCILIADO 12-01-21</t>
  </si>
  <si>
    <t>GASTOS NOVIEMBRE</t>
  </si>
  <si>
    <t>0006192- TRANFERENCIA</t>
  </si>
  <si>
    <t>0940439 - CAJA UNSM</t>
  </si>
  <si>
    <t>0931943 - CAJA UNSM</t>
  </si>
  <si>
    <t>001268470 -CAJA UNSM</t>
  </si>
  <si>
    <t>SALDO 2019</t>
  </si>
  <si>
    <t>conciliado 13-04-21</t>
  </si>
  <si>
    <t>GASTOS DICIEMBRE</t>
  </si>
  <si>
    <t>SALDO 2020</t>
  </si>
  <si>
    <t>CONCILIADO 10-01-21</t>
  </si>
  <si>
    <t>CONCILIADO 10-03-21</t>
  </si>
  <si>
    <t xml:space="preserve">FEBRERO </t>
  </si>
  <si>
    <t>CONCILIADO 10 MARZO CTI</t>
  </si>
  <si>
    <t>CONCILIADO 12 MARZO CTI</t>
  </si>
  <si>
    <t>CUADRO SITUACIONAL ECONOMICO CTI- 2020</t>
  </si>
  <si>
    <t>MES - DICIEMBRE</t>
  </si>
  <si>
    <t>CUADRO SITUACIONAL ECONOMICO CTI- 2021</t>
  </si>
  <si>
    <t>PAGO PERSONAL TDR PERIODO ENERO</t>
  </si>
  <si>
    <t>SEGUNDO</t>
  </si>
  <si>
    <t xml:space="preserve">AVY MONICA </t>
  </si>
  <si>
    <t xml:space="preserve">ANA MARIA </t>
  </si>
  <si>
    <t xml:space="preserve">YAJAIRA </t>
  </si>
  <si>
    <t>GREASE</t>
  </si>
  <si>
    <t>PAGO PERSONAL TDR PERIODO FEBRERO</t>
  </si>
  <si>
    <t>PAGO DOCENTE EXTERNO EXP 439 RICHARD HERERDIA  OFICIO 024</t>
  </si>
  <si>
    <t>PAGO DOCENTE EXTERNO ROBERT BRYAN BERRU EXP 441 OFICIO 026</t>
  </si>
  <si>
    <t xml:space="preserve">PAGO DOCENTE E572 OFICIO 033 FRANKO SALAZAR NOVOA </t>
  </si>
  <si>
    <t xml:space="preserve">PAGO PRO OTRAS RETRIBUCIONES AUTORIDADES PERIODO NOVIEMBRE DI IMEBRE OFICIO 020-FISI; EXP. 370 </t>
  </si>
  <si>
    <t>PAGO DOCENTE EXTERNO EXP 1381 OFICIO 059-CTI EVERGISTO SARE</t>
  </si>
  <si>
    <t xml:space="preserve">APGO DOCENTE EXTERNO EXP 1382 OFICIO 060-CTI RIBERT BERRU </t>
  </si>
  <si>
    <t xml:space="preserve">PAGO DOCENTE EXO, 1383 OFICIO 061 HERRAMIENTAS DIGITALKES EDHY DELGAD ODAVILA </t>
  </si>
  <si>
    <t xml:space="preserve">PAGO DOCENTE EXTERNO OFICIO 063 EXP 1385 JULIO MEGO SARMIENTO </t>
  </si>
  <si>
    <t xml:space="preserve">PAGO DOCENT EXTERNO OFICIO 062 EXP 1384 DICK DIAZ DELGADO </t>
  </si>
  <si>
    <t xml:space="preserve">PAGO DOCENTE INTERNO CTI DICIEMBRE FERBERO - JUAN ANTONIO REYNA </t>
  </si>
  <si>
    <t>PAGO PERSONAL TDR PERIODO MARZO</t>
  </si>
  <si>
    <t xml:space="preserve">PAGO DOCENTE INTERNO OFICIO 073 EXP 1575 JUAN RIASCOS A RMAS </t>
  </si>
  <si>
    <t>PAGO DOCENTRE EXTERNO OFICIO 071 EXP. 1574 EFREN ESCOBEDO</t>
  </si>
  <si>
    <t xml:space="preserve">PAGO DOCENTE EXTERNO OFICIO 074 FISI - EXP 1576 JIRVIN JINATHAN GAMARRA </t>
  </si>
  <si>
    <t xml:space="preserve">PAGO DOCENTE EXTERNO OFICIO 079 EXP 1760 JIMMY CARBAJAL SANCHEZ </t>
  </si>
  <si>
    <t xml:space="preserve">PAG O DOCENTE EXTERNO OFICIO 080 EXP. 1762 KRYSTEL SHUPINGAHIUA </t>
  </si>
  <si>
    <t xml:space="preserve">PAGO DOCENTE EXTERNO OFICIO 081 EXP. 1763 JOEL ESPINO BRAVO </t>
  </si>
  <si>
    <t xml:space="preserve">PAGO DOCENTE EXTERNO OFICIO 082 EXP. 1765 CURSO TALLER ESTADISTICA EVERGISTO SARE LARA </t>
  </si>
  <si>
    <t xml:space="preserve">PAGO DOCENTE EXTERNO EXAMEN DE SUFICIENCIA OFICIO 083 EXP. 1767RAYS SHUPINGAHUA </t>
  </si>
  <si>
    <t>PAGO PERSONAL TDR PERIODO ABRIL</t>
  </si>
  <si>
    <t xml:space="preserve">GREASE </t>
  </si>
  <si>
    <t xml:space="preserve">PAGO DOCENTE EXTERNO HERRAMIENTAS DIGITALES EXP 1990 OFICIO 093 EDHY DELGADO DAVILA </t>
  </si>
  <si>
    <t>PAGO DOCENTE EXP. 2083 OFICIO 094 DICK DIAZ DELGADO</t>
  </si>
  <si>
    <t xml:space="preserve">PAGO DOCENTE EXTERNO EXP. 2316 OFICIO 102 CTI - EDHY DELGADO DAVILA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</si>
</sst>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&quot;S/.&quot;\ #,##0.00;[Red]&quot;S/.&quot;\ \-#,##0.00"/>
    <numFmt numFmtId="165" formatCode="_ [$S/.-C6B]\ * #,##0.00_ ;_ [$S/.-C6B]\ * \-#,##0.00_ ;_ [$S/.-C6B]\ * &quot;-&quot;??_ ;_ @_ "/>
    <numFmt numFmtId="166" formatCode="#,##0.00_ ;\-#,##0.00\ "/>
    <numFmt numFmtId="167" formatCode="dd\-mm\-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9"/>
      <name val="Arial Narrow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Arial"/>
      <family val="2"/>
    </font>
    <font>
      <b/>
      <sz val="12"/>
      <name val="Arial Narrow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8"/>
      <name val="Calibri"/>
      <family val="2"/>
      <scheme val="minor"/>
    </font>
    <font>
      <u/>
      <sz val="9"/>
      <name val="Arial"/>
      <family val="2"/>
    </font>
    <font>
      <sz val="9"/>
      <color rgb="FF00B050"/>
      <name val="Calibri"/>
      <family val="2"/>
      <scheme val="minor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theme="9"/>
      <name val="Arial"/>
      <family val="2"/>
    </font>
    <font>
      <b/>
      <sz val="9"/>
      <color theme="9"/>
      <name val="Arial"/>
      <family val="2"/>
    </font>
    <font>
      <sz val="9"/>
      <color theme="8"/>
      <name val="Arial"/>
      <family val="2"/>
    </font>
    <font>
      <b/>
      <sz val="9"/>
      <color theme="8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165" fontId="2" fillId="0" borderId="0"/>
    <xf numFmtId="0" fontId="19" fillId="7" borderId="0" applyNumberFormat="0" applyBorder="0" applyAlignment="0" applyProtection="0"/>
    <xf numFmtId="167" fontId="2" fillId="0" borderId="0"/>
  </cellStyleXfs>
  <cellXfs count="639">
    <xf numFmtId="0" fontId="0" fillId="0" borderId="0" xfId="0"/>
    <xf numFmtId="166" fontId="4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7" fontId="3" fillId="3" borderId="1" xfId="0" applyNumberFormat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166" fontId="3" fillId="3" borderId="1" xfId="0" applyNumberFormat="1" applyFont="1" applyFill="1" applyBorder="1"/>
    <xf numFmtId="166" fontId="3" fillId="3" borderId="1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7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166" fontId="3" fillId="0" borderId="0" xfId="0" applyNumberFormat="1" applyFont="1"/>
    <xf numFmtId="0" fontId="14" fillId="0" borderId="0" xfId="0" applyFont="1"/>
    <xf numFmtId="166" fontId="3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6" fontId="15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left"/>
    </xf>
    <xf numFmtId="166" fontId="16" fillId="0" borderId="0" xfId="0" applyNumberFormat="1" applyFont="1"/>
    <xf numFmtId="166" fontId="6" fillId="0" borderId="0" xfId="0" applyNumberFormat="1" applyFont="1"/>
    <xf numFmtId="0" fontId="6" fillId="0" borderId="0" xfId="0" applyFont="1" applyAlignment="1">
      <alignment horizontal="left"/>
    </xf>
    <xf numFmtId="166" fontId="1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166" fontId="12" fillId="0" borderId="0" xfId="0" applyNumberFormat="1" applyFont="1"/>
    <xf numFmtId="0" fontId="16" fillId="0" borderId="0" xfId="0" applyFont="1"/>
    <xf numFmtId="0" fontId="6" fillId="0" borderId="0" xfId="0" applyFont="1" applyAlignment="1">
      <alignment horizontal="right"/>
    </xf>
    <xf numFmtId="166" fontId="6" fillId="0" borderId="7" xfId="0" applyNumberFormat="1" applyFont="1" applyBorder="1" applyAlignment="1">
      <alignment horizontal="left"/>
    </xf>
    <xf numFmtId="166" fontId="8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1" fillId="0" borderId="0" xfId="0" applyFont="1"/>
    <xf numFmtId="166" fontId="11" fillId="0" borderId="0" xfId="0" applyNumberFormat="1" applyFont="1" applyAlignment="1">
      <alignment horizontal="center"/>
    </xf>
    <xf numFmtId="166" fontId="11" fillId="4" borderId="1" xfId="0" applyNumberFormat="1" applyFont="1" applyFill="1" applyBorder="1" applyAlignment="1">
      <alignment horizontal="left"/>
    </xf>
    <xf numFmtId="166" fontId="13" fillId="4" borderId="1" xfId="0" applyNumberFormat="1" applyFont="1" applyFill="1" applyBorder="1" applyAlignment="1">
      <alignment horizontal="right"/>
    </xf>
    <xf numFmtId="166" fontId="17" fillId="4" borderId="1" xfId="0" applyNumberFormat="1" applyFont="1" applyFill="1" applyBorder="1"/>
    <xf numFmtId="166" fontId="11" fillId="6" borderId="0" xfId="0" applyNumberFormat="1" applyFont="1" applyFill="1"/>
    <xf numFmtId="166" fontId="4" fillId="6" borderId="1" xfId="0" applyNumberFormat="1" applyFont="1" applyFill="1" applyBorder="1" applyAlignment="1">
      <alignment horizontal="left"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166" fontId="4" fillId="3" borderId="1" xfId="0" applyNumberFormat="1" applyFont="1" applyFill="1" applyBorder="1"/>
    <xf numFmtId="166" fontId="3" fillId="3" borderId="1" xfId="2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4" fontId="3" fillId="3" borderId="1" xfId="2" applyNumberFormat="1" applyFont="1" applyFill="1" applyBorder="1" applyAlignment="1">
      <alignment horizontal="center"/>
    </xf>
    <xf numFmtId="0" fontId="4" fillId="3" borderId="1" xfId="2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left"/>
    </xf>
    <xf numFmtId="4" fontId="10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/>
    </xf>
    <xf numFmtId="4" fontId="3" fillId="3" borderId="1" xfId="0" applyNumberFormat="1" applyFont="1" applyFill="1" applyBorder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3" fillId="0" borderId="0" xfId="0" applyFont="1"/>
    <xf numFmtId="14" fontId="3" fillId="0" borderId="1" xfId="2" applyNumberFormat="1" applyFont="1" applyBorder="1" applyAlignment="1">
      <alignment horizontal="center"/>
    </xf>
    <xf numFmtId="0" fontId="4" fillId="0" borderId="1" xfId="2" applyNumberFormat="1" applyFont="1" applyBorder="1" applyAlignment="1">
      <alignment horizontal="center" vertical="center"/>
    </xf>
    <xf numFmtId="0" fontId="4" fillId="0" borderId="1" xfId="2" quotePrefix="1" applyNumberFormat="1" applyFont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66" fontId="3" fillId="0" borderId="1" xfId="2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center" wrapText="1"/>
    </xf>
    <xf numFmtId="166" fontId="3" fillId="3" borderId="5" xfId="2" applyNumberFormat="1" applyFont="1" applyFill="1" applyBorder="1" applyAlignment="1">
      <alignment horizontal="right"/>
    </xf>
    <xf numFmtId="166" fontId="4" fillId="5" borderId="11" xfId="0" applyNumberFormat="1" applyFont="1" applyFill="1" applyBorder="1" applyAlignment="1">
      <alignment horizontal="right"/>
    </xf>
    <xf numFmtId="166" fontId="4" fillId="5" borderId="12" xfId="0" applyNumberFormat="1" applyFont="1" applyFill="1" applyBorder="1" applyAlignment="1">
      <alignment horizontal="right"/>
    </xf>
    <xf numFmtId="166" fontId="4" fillId="5" borderId="12" xfId="0" applyNumberFormat="1" applyFont="1" applyFill="1" applyBorder="1"/>
    <xf numFmtId="166" fontId="4" fillId="5" borderId="13" xfId="0" applyNumberFormat="1" applyFont="1" applyFill="1" applyBorder="1" applyAlignment="1">
      <alignment horizontal="right"/>
    </xf>
    <xf numFmtId="166" fontId="4" fillId="0" borderId="2" xfId="0" applyNumberFormat="1" applyFont="1" applyBorder="1" applyAlignment="1">
      <alignment horizontal="center"/>
    </xf>
    <xf numFmtId="4" fontId="4" fillId="5" borderId="1" xfId="0" applyNumberFormat="1" applyFont="1" applyFill="1" applyBorder="1"/>
    <xf numFmtId="1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 vertical="center"/>
    </xf>
    <xf numFmtId="166" fontId="3" fillId="4" borderId="1" xfId="2" applyNumberFormat="1" applyFont="1" applyFill="1" applyBorder="1" applyAlignment="1">
      <alignment horizontal="right"/>
    </xf>
    <xf numFmtId="166" fontId="3" fillId="4" borderId="1" xfId="0" applyNumberFormat="1" applyFont="1" applyFill="1" applyBorder="1"/>
    <xf numFmtId="0" fontId="14" fillId="4" borderId="0" xfId="0" applyFont="1" applyFill="1"/>
    <xf numFmtId="49" fontId="3" fillId="0" borderId="1" xfId="0" applyNumberFormat="1" applyFont="1" applyBorder="1" applyAlignment="1">
      <alignment horizontal="center" vertical="center"/>
    </xf>
    <xf numFmtId="166" fontId="4" fillId="5" borderId="1" xfId="0" quotePrefix="1" applyNumberFormat="1" applyFont="1" applyFill="1" applyBorder="1"/>
    <xf numFmtId="0" fontId="14" fillId="5" borderId="1" xfId="0" applyFont="1" applyFill="1" applyBorder="1"/>
    <xf numFmtId="166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left" vertical="center"/>
    </xf>
    <xf numFmtId="166" fontId="3" fillId="3" borderId="14" xfId="2" applyNumberFormat="1" applyFont="1" applyFill="1" applyBorder="1" applyAlignment="1">
      <alignment horizontal="left"/>
    </xf>
    <xf numFmtId="166" fontId="4" fillId="5" borderId="14" xfId="0" quotePrefix="1" applyNumberFormat="1" applyFont="1" applyFill="1" applyBorder="1"/>
    <xf numFmtId="166" fontId="4" fillId="5" borderId="14" xfId="0" applyNumberFormat="1" applyFont="1" applyFill="1" applyBorder="1"/>
    <xf numFmtId="166" fontId="14" fillId="5" borderId="1" xfId="0" applyNumberFormat="1" applyFont="1" applyFill="1" applyBorder="1"/>
    <xf numFmtId="166" fontId="3" fillId="5" borderId="15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6" fontId="3" fillId="3" borderId="1" xfId="0" applyNumberFormat="1" applyFont="1" applyFill="1" applyBorder="1" applyAlignment="1">
      <alignment horizontal="right" vertical="top"/>
    </xf>
    <xf numFmtId="0" fontId="4" fillId="4" borderId="1" xfId="2" applyNumberFormat="1" applyFont="1" applyFill="1" applyBorder="1" applyAlignment="1">
      <alignment horizontal="center" vertical="center"/>
    </xf>
    <xf numFmtId="166" fontId="2" fillId="0" borderId="0" xfId="0" applyNumberFormat="1" applyFont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left"/>
    </xf>
    <xf numFmtId="166" fontId="18" fillId="0" borderId="1" xfId="0" applyNumberFormat="1" applyFont="1" applyBorder="1"/>
    <xf numFmtId="14" fontId="2" fillId="3" borderId="1" xfId="0" quotePrefix="1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left"/>
    </xf>
    <xf numFmtId="166" fontId="18" fillId="3" borderId="1" xfId="0" applyNumberFormat="1" applyFont="1" applyFill="1" applyBorder="1" applyAlignment="1">
      <alignment horizontal="right"/>
    </xf>
    <xf numFmtId="166" fontId="18" fillId="3" borderId="1" xfId="0" applyNumberFormat="1" applyFont="1" applyFill="1" applyBorder="1"/>
    <xf numFmtId="0" fontId="2" fillId="0" borderId="1" xfId="0" applyFont="1" applyBorder="1" applyAlignment="1">
      <alignment horizontal="left"/>
    </xf>
    <xf numFmtId="166" fontId="2" fillId="3" borderId="1" xfId="2" applyNumberFormat="1" applyFill="1" applyBorder="1" applyAlignment="1">
      <alignment horizontal="right"/>
    </xf>
    <xf numFmtId="166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166" fontId="2" fillId="3" borderId="1" xfId="2" applyNumberFormat="1" applyFill="1" applyBorder="1" applyAlignment="1">
      <alignment horizontal="right" vertical="center"/>
    </xf>
    <xf numFmtId="14" fontId="2" fillId="3" borderId="1" xfId="2" applyNumberFormat="1" applyFill="1" applyBorder="1" applyAlignment="1">
      <alignment horizontal="center"/>
    </xf>
    <xf numFmtId="0" fontId="18" fillId="3" borderId="1" xfId="2" applyNumberFormat="1" applyFont="1" applyFill="1" applyBorder="1" applyAlignment="1">
      <alignment horizontal="center" vertical="center"/>
    </xf>
    <xf numFmtId="166" fontId="2" fillId="3" borderId="1" xfId="2" applyNumberForma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4" fontId="22" fillId="3" borderId="1" xfId="0" applyNumberFormat="1" applyFont="1" applyFill="1" applyBorder="1" applyAlignment="1">
      <alignment horizontal="right"/>
    </xf>
    <xf numFmtId="4" fontId="22" fillId="3" borderId="1" xfId="0" applyNumberFormat="1" applyFont="1" applyFill="1" applyBorder="1" applyAlignment="1">
      <alignment horizontal="left"/>
    </xf>
    <xf numFmtId="0" fontId="23" fillId="6" borderId="0" xfId="0" applyFont="1" applyFill="1" applyAlignment="1">
      <alignment horizontal="center"/>
    </xf>
    <xf numFmtId="16" fontId="2" fillId="0" borderId="1" xfId="0" applyNumberFormat="1" applyFont="1" applyBorder="1" applyAlignment="1">
      <alignment horizontal="left"/>
    </xf>
    <xf numFmtId="14" fontId="2" fillId="3" borderId="2" xfId="2" applyNumberFormat="1" applyFill="1" applyBorder="1" applyAlignment="1">
      <alignment horizontal="center"/>
    </xf>
    <xf numFmtId="0" fontId="18" fillId="3" borderId="3" xfId="2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/>
    </xf>
    <xf numFmtId="166" fontId="2" fillId="3" borderId="3" xfId="2" applyNumberFormat="1" applyFill="1" applyBorder="1" applyAlignment="1">
      <alignment horizontal="left"/>
    </xf>
    <xf numFmtId="166" fontId="2" fillId="3" borderId="3" xfId="0" applyNumberFormat="1" applyFont="1" applyFill="1" applyBorder="1" applyAlignment="1">
      <alignment horizontal="left"/>
    </xf>
    <xf numFmtId="166" fontId="2" fillId="3" borderId="3" xfId="2" applyNumberFormat="1" applyFill="1" applyBorder="1" applyAlignment="1">
      <alignment horizontal="right"/>
    </xf>
    <xf numFmtId="166" fontId="2" fillId="3" borderId="3" xfId="0" applyNumberFormat="1" applyFont="1" applyFill="1" applyBorder="1"/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/>
    </xf>
    <xf numFmtId="4" fontId="2" fillId="3" borderId="1" xfId="0" applyNumberFormat="1" applyFont="1" applyFill="1" applyBorder="1"/>
    <xf numFmtId="166" fontId="24" fillId="0" borderId="0" xfId="0" applyNumberFormat="1" applyFont="1"/>
    <xf numFmtId="0" fontId="18" fillId="8" borderId="1" xfId="2" quotePrefix="1" applyNumberFormat="1" applyFont="1" applyFill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8" borderId="1" xfId="0" quotePrefix="1" applyFont="1" applyFill="1" applyBorder="1" applyAlignment="1">
      <alignment horizontal="center"/>
    </xf>
    <xf numFmtId="166" fontId="18" fillId="0" borderId="1" xfId="0" quotePrefix="1" applyNumberFormat="1" applyFont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quotePrefix="1" applyNumberFormat="1" applyFont="1" applyBorder="1" applyAlignment="1">
      <alignment horizontal="left"/>
    </xf>
    <xf numFmtId="166" fontId="18" fillId="5" borderId="5" xfId="0" quotePrefix="1" applyNumberFormat="1" applyFont="1" applyFill="1" applyBorder="1" applyAlignment="1">
      <alignment horizontal="left"/>
    </xf>
    <xf numFmtId="166" fontId="18" fillId="5" borderId="14" xfId="0" applyNumberFormat="1" applyFont="1" applyFill="1" applyBorder="1" applyAlignment="1">
      <alignment horizontal="right"/>
    </xf>
    <xf numFmtId="166" fontId="18" fillId="5" borderId="2" xfId="0" quotePrefix="1" applyNumberFormat="1" applyFont="1" applyFill="1" applyBorder="1"/>
    <xf numFmtId="166" fontId="18" fillId="5" borderId="19" xfId="0" applyNumberFormat="1" applyFont="1" applyFill="1" applyBorder="1"/>
    <xf numFmtId="166" fontId="18" fillId="5" borderId="20" xfId="0" applyNumberFormat="1" applyFont="1" applyFill="1" applyBorder="1"/>
    <xf numFmtId="166" fontId="2" fillId="5" borderId="18" xfId="0" applyNumberFormat="1" applyFont="1" applyFill="1" applyBorder="1" applyAlignment="1">
      <alignment horizontal="right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8" fillId="0" borderId="0" xfId="0" quotePrefix="1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166" fontId="2" fillId="0" borderId="0" xfId="0" quotePrefix="1" applyNumberFormat="1" applyFont="1" applyAlignment="1">
      <alignment horizontal="left"/>
    </xf>
    <xf numFmtId="166" fontId="18" fillId="5" borderId="0" xfId="0" applyNumberFormat="1" applyFont="1" applyFill="1" applyAlignment="1">
      <alignment horizontal="right"/>
    </xf>
    <xf numFmtId="166" fontId="18" fillId="5" borderId="0" xfId="0" quotePrefix="1" applyNumberFormat="1" applyFont="1" applyFill="1"/>
    <xf numFmtId="166" fontId="18" fillId="5" borderId="0" xfId="0" applyNumberFormat="1" applyFont="1" applyFill="1"/>
    <xf numFmtId="166" fontId="18" fillId="5" borderId="2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right"/>
    </xf>
    <xf numFmtId="166" fontId="18" fillId="0" borderId="0" xfId="0" applyNumberFormat="1" applyFont="1"/>
    <xf numFmtId="166" fontId="22" fillId="3" borderId="2" xfId="0" applyNumberFormat="1" applyFont="1" applyFill="1" applyBorder="1" applyAlignment="1">
      <alignment horizontal="right"/>
    </xf>
    <xf numFmtId="166" fontId="23" fillId="3" borderId="1" xfId="0" applyNumberFormat="1" applyFont="1" applyFill="1" applyBorder="1" applyAlignment="1">
      <alignment vertical="center"/>
    </xf>
    <xf numFmtId="166" fontId="25" fillId="3" borderId="1" xfId="0" applyNumberFormat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3" fillId="3" borderId="1" xfId="0" quotePrefix="1" applyNumberFormat="1" applyFont="1" applyFill="1" applyBorder="1" applyAlignment="1">
      <alignment horizontal="center" vertical="center"/>
    </xf>
    <xf numFmtId="166" fontId="2" fillId="8" borderId="1" xfId="0" quotePrefix="1" applyNumberFormat="1" applyFont="1" applyFill="1" applyBorder="1" applyAlignment="1">
      <alignment horizontal="center"/>
    </xf>
    <xf numFmtId="164" fontId="22" fillId="0" borderId="0" xfId="0" applyNumberFormat="1" applyFont="1"/>
    <xf numFmtId="166" fontId="18" fillId="0" borderId="0" xfId="0" quotePrefix="1" applyNumberFormat="1" applyFont="1"/>
    <xf numFmtId="166" fontId="18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 vertical="top"/>
    </xf>
    <xf numFmtId="4" fontId="2" fillId="3" borderId="1" xfId="0" applyNumberFormat="1" applyFont="1" applyFill="1" applyBorder="1" applyAlignment="1">
      <alignment horizontal="right" vertical="top"/>
    </xf>
    <xf numFmtId="167" fontId="3" fillId="0" borderId="1" xfId="0" applyNumberFormat="1" applyFont="1" applyBorder="1" applyAlignment="1">
      <alignment horizontal="center"/>
    </xf>
    <xf numFmtId="0" fontId="23" fillId="3" borderId="1" xfId="0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 vertical="top" indent="1"/>
    </xf>
    <xf numFmtId="166" fontId="2" fillId="8" borderId="0" xfId="0" applyNumberFormat="1" applyFont="1" applyFill="1" applyAlignment="1">
      <alignment horizontal="center"/>
    </xf>
    <xf numFmtId="0" fontId="18" fillId="5" borderId="1" xfId="2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166" fontId="2" fillId="5" borderId="5" xfId="0" quotePrefix="1" applyNumberFormat="1" applyFont="1" applyFill="1" applyBorder="1" applyAlignment="1">
      <alignment horizontal="left"/>
    </xf>
    <xf numFmtId="166" fontId="2" fillId="0" borderId="5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 vertical="top"/>
    </xf>
    <xf numFmtId="166" fontId="21" fillId="0" borderId="2" xfId="0" applyNumberFormat="1" applyFon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6" fontId="2" fillId="4" borderId="1" xfId="2" applyNumberFormat="1" applyFill="1" applyBorder="1" applyAlignment="1">
      <alignment horizontal="left"/>
    </xf>
    <xf numFmtId="14" fontId="2" fillId="8" borderId="1" xfId="2" applyNumberFormat="1" applyFill="1" applyBorder="1" applyAlignment="1">
      <alignment horizontal="center"/>
    </xf>
    <xf numFmtId="0" fontId="18" fillId="8" borderId="1" xfId="2" applyNumberFormat="1" applyFont="1" applyFill="1" applyBorder="1" applyAlignment="1">
      <alignment horizontal="center" vertical="center"/>
    </xf>
    <xf numFmtId="166" fontId="2" fillId="8" borderId="1" xfId="2" applyNumberFormat="1" applyFill="1" applyBorder="1" applyAlignment="1">
      <alignment horizontal="left"/>
    </xf>
    <xf numFmtId="166" fontId="2" fillId="3" borderId="0" xfId="0" applyNumberFormat="1" applyFont="1" applyFill="1" applyAlignment="1">
      <alignment horizontal="center"/>
    </xf>
    <xf numFmtId="0" fontId="18" fillId="3" borderId="1" xfId="2" applyNumberFormat="1" applyFont="1" applyFill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18" fillId="8" borderId="0" xfId="0" applyFont="1" applyFill="1" applyAlignment="1">
      <alignment horizontal="center"/>
    </xf>
    <xf numFmtId="166" fontId="21" fillId="8" borderId="1" xfId="0" applyNumberFormat="1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0" fontId="18" fillId="8" borderId="0" xfId="0" quotePrefix="1" applyFont="1" applyFill="1" applyAlignment="1">
      <alignment horizontal="center"/>
    </xf>
    <xf numFmtId="166" fontId="2" fillId="8" borderId="0" xfId="0" quotePrefix="1" applyNumberFormat="1" applyFont="1" applyFill="1" applyAlignment="1">
      <alignment horizontal="center"/>
    </xf>
    <xf numFmtId="14" fontId="2" fillId="3" borderId="5" xfId="2" applyNumberFormat="1" applyFill="1" applyBorder="1" applyAlignment="1">
      <alignment horizontal="center"/>
    </xf>
    <xf numFmtId="0" fontId="18" fillId="8" borderId="5" xfId="2" quotePrefix="1" applyNumberFormat="1" applyFont="1" applyFill="1" applyBorder="1" applyAlignment="1">
      <alignment horizontal="center" vertical="center"/>
    </xf>
    <xf numFmtId="166" fontId="2" fillId="8" borderId="5" xfId="0" applyNumberFormat="1" applyFont="1" applyFill="1" applyBorder="1" applyAlignment="1">
      <alignment horizontal="center"/>
    </xf>
    <xf numFmtId="166" fontId="2" fillId="8" borderId="5" xfId="0" quotePrefix="1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166" fontId="2" fillId="3" borderId="5" xfId="2" applyNumberFormat="1" applyFill="1" applyBorder="1" applyAlignment="1">
      <alignment horizontal="left"/>
    </xf>
    <xf numFmtId="166" fontId="2" fillId="3" borderId="5" xfId="0" applyNumberFormat="1" applyFont="1" applyFill="1" applyBorder="1" applyAlignment="1">
      <alignment horizontal="left"/>
    </xf>
    <xf numFmtId="166" fontId="2" fillId="3" borderId="6" xfId="2" applyNumberFormat="1" applyFill="1" applyBorder="1" applyAlignment="1">
      <alignment horizontal="right"/>
    </xf>
    <xf numFmtId="166" fontId="2" fillId="3" borderId="16" xfId="0" applyNumberFormat="1" applyFont="1" applyFill="1" applyBorder="1"/>
    <xf numFmtId="166" fontId="2" fillId="3" borderId="22" xfId="0" applyNumberFormat="1" applyFont="1" applyFill="1" applyBorder="1"/>
    <xf numFmtId="4" fontId="2" fillId="3" borderId="23" xfId="0" applyNumberFormat="1" applyFont="1" applyFill="1" applyBorder="1"/>
    <xf numFmtId="14" fontId="2" fillId="3" borderId="14" xfId="2" applyNumberFormat="1" applyFill="1" applyBorder="1" applyAlignment="1">
      <alignment horizontal="center"/>
    </xf>
    <xf numFmtId="0" fontId="18" fillId="3" borderId="14" xfId="2" applyNumberFormat="1" applyFont="1" applyFill="1" applyBorder="1" applyAlignment="1">
      <alignment horizontal="center" vertical="center"/>
    </xf>
    <xf numFmtId="166" fontId="2" fillId="3" borderId="14" xfId="0" applyNumberFormat="1" applyFont="1" applyFill="1" applyBorder="1" applyAlignment="1">
      <alignment horizontal="center"/>
    </xf>
    <xf numFmtId="166" fontId="2" fillId="3" borderId="14" xfId="2" applyNumberFormat="1" applyFill="1" applyBorder="1" applyAlignment="1">
      <alignment horizontal="left"/>
    </xf>
    <xf numFmtId="166" fontId="2" fillId="3" borderId="6" xfId="0" applyNumberFormat="1" applyFont="1" applyFill="1" applyBorder="1" applyAlignment="1">
      <alignment horizontal="left"/>
    </xf>
    <xf numFmtId="166" fontId="2" fillId="3" borderId="14" xfId="2" applyNumberFormat="1" applyFill="1" applyBorder="1" applyAlignment="1">
      <alignment horizontal="right"/>
    </xf>
    <xf numFmtId="166" fontId="2" fillId="3" borderId="9" xfId="0" applyNumberFormat="1" applyFont="1" applyFill="1" applyBorder="1"/>
    <xf numFmtId="166" fontId="2" fillId="3" borderId="22" xfId="0" applyNumberFormat="1" applyFont="1" applyFill="1" applyBorder="1" applyAlignment="1">
      <alignment horizontal="right"/>
    </xf>
    <xf numFmtId="14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6" fontId="18" fillId="0" borderId="14" xfId="0" applyNumberFormat="1" applyFont="1" applyBorder="1" applyAlignment="1">
      <alignment horizontal="center"/>
    </xf>
    <xf numFmtId="166" fontId="18" fillId="0" borderId="14" xfId="0" quotePrefix="1" applyNumberFormat="1" applyFont="1" applyBorder="1" applyAlignment="1">
      <alignment horizontal="center"/>
    </xf>
    <xf numFmtId="166" fontId="2" fillId="0" borderId="14" xfId="0" quotePrefix="1" applyNumberFormat="1" applyFont="1" applyBorder="1" applyAlignment="1">
      <alignment horizontal="center"/>
    </xf>
    <xf numFmtId="166" fontId="2" fillId="0" borderId="14" xfId="0" quotePrefix="1" applyNumberFormat="1" applyFont="1" applyBorder="1" applyAlignment="1">
      <alignment horizontal="left"/>
    </xf>
    <xf numFmtId="166" fontId="18" fillId="5" borderId="6" xfId="0" quotePrefix="1" applyNumberFormat="1" applyFont="1" applyFill="1" applyBorder="1" applyAlignment="1">
      <alignment horizontal="left"/>
    </xf>
    <xf numFmtId="166" fontId="18" fillId="5" borderId="9" xfId="0" quotePrefix="1" applyNumberFormat="1" applyFont="1" applyFill="1" applyBorder="1"/>
    <xf numFmtId="166" fontId="18" fillId="5" borderId="24" xfId="0" applyNumberFormat="1" applyFont="1" applyFill="1" applyBorder="1"/>
    <xf numFmtId="166" fontId="18" fillId="5" borderId="25" xfId="0" applyNumberFormat="1" applyFont="1" applyFill="1" applyBorder="1"/>
    <xf numFmtId="166" fontId="2" fillId="5" borderId="22" xfId="0" applyNumberFormat="1" applyFont="1" applyFill="1" applyBorder="1" applyAlignment="1">
      <alignment horizontal="right"/>
    </xf>
    <xf numFmtId="166" fontId="21" fillId="8" borderId="1" xfId="0" quotePrefix="1" applyNumberFormat="1" applyFont="1" applyFill="1" applyBorder="1" applyAlignment="1">
      <alignment horizontal="center"/>
    </xf>
    <xf numFmtId="0" fontId="18" fillId="8" borderId="1" xfId="0" quotePrefix="1" applyFont="1" applyFill="1" applyBorder="1" applyAlignment="1">
      <alignment horizontal="center"/>
    </xf>
    <xf numFmtId="166" fontId="26" fillId="0" borderId="1" xfId="0" applyNumberFormat="1" applyFont="1" applyBorder="1" applyAlignment="1">
      <alignment wrapText="1"/>
    </xf>
    <xf numFmtId="165" fontId="27" fillId="0" borderId="1" xfId="0" applyNumberFormat="1" applyFont="1" applyBorder="1" applyAlignment="1">
      <alignment horizontal="left" wrapText="1"/>
    </xf>
    <xf numFmtId="0" fontId="18" fillId="5" borderId="1" xfId="2" quotePrefix="1" applyNumberFormat="1" applyFont="1" applyFill="1" applyBorder="1" applyAlignment="1">
      <alignment horizontal="center" vertical="center"/>
    </xf>
    <xf numFmtId="166" fontId="2" fillId="5" borderId="1" xfId="0" quotePrefix="1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166" fontId="2" fillId="0" borderId="3" xfId="0" applyNumberFormat="1" applyFont="1" applyBorder="1" applyAlignment="1">
      <alignment horizontal="center"/>
    </xf>
    <xf numFmtId="0" fontId="18" fillId="8" borderId="1" xfId="2" quotePrefix="1" applyNumberFormat="1" applyFont="1" applyFill="1" applyBorder="1" applyAlignment="1">
      <alignment vertical="center" wrapText="1"/>
    </xf>
    <xf numFmtId="0" fontId="18" fillId="8" borderId="1" xfId="2" applyNumberFormat="1" applyFont="1" applyFill="1" applyBorder="1" applyAlignment="1">
      <alignment vertical="center" wrapText="1"/>
    </xf>
    <xf numFmtId="0" fontId="18" fillId="3" borderId="5" xfId="2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/>
    </xf>
    <xf numFmtId="166" fontId="21" fillId="5" borderId="1" xfId="0" quotePrefix="1" applyNumberFormat="1" applyFont="1" applyFill="1" applyBorder="1" applyAlignment="1">
      <alignment horizontal="center"/>
    </xf>
    <xf numFmtId="166" fontId="21" fillId="5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1" xfId="0" applyFont="1" applyBorder="1" applyAlignment="1">
      <alignment horizontal="left" vertical="center"/>
    </xf>
    <xf numFmtId="166" fontId="1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166" fontId="22" fillId="0" borderId="3" xfId="0" applyNumberFormat="1" applyFont="1" applyBorder="1" applyAlignment="1">
      <alignment horizontal="left" vertical="center"/>
    </xf>
    <xf numFmtId="166" fontId="29" fillId="0" borderId="3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quotePrefix="1" applyFont="1" applyBorder="1" applyAlignment="1">
      <alignment horizontal="left"/>
    </xf>
    <xf numFmtId="166" fontId="20" fillId="0" borderId="0" xfId="0" applyNumberFormat="1" applyFont="1"/>
    <xf numFmtId="0" fontId="30" fillId="0" borderId="0" xfId="0" applyFont="1" applyAlignment="1">
      <alignment horizontal="left"/>
    </xf>
    <xf numFmtId="166" fontId="30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6" fontId="22" fillId="0" borderId="0" xfId="0" applyNumberFormat="1" applyFont="1" applyAlignment="1">
      <alignment horizontal="left"/>
    </xf>
    <xf numFmtId="166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166" fontId="22" fillId="0" borderId="0" xfId="0" applyNumberFormat="1" applyFont="1"/>
    <xf numFmtId="0" fontId="2" fillId="0" borderId="0" xfId="0" applyFont="1" applyAlignment="1">
      <alignment horizontal="right"/>
    </xf>
    <xf numFmtId="166" fontId="2" fillId="0" borderId="7" xfId="0" applyNumberFormat="1" applyFont="1" applyBorder="1" applyAlignment="1">
      <alignment horizontal="left"/>
    </xf>
    <xf numFmtId="166" fontId="29" fillId="0" borderId="0" xfId="0" applyNumberFormat="1" applyFont="1" applyAlignment="1">
      <alignment horizontal="center"/>
    </xf>
    <xf numFmtId="166" fontId="20" fillId="0" borderId="1" xfId="0" applyNumberFormat="1" applyFont="1" applyBorder="1" applyAlignment="1">
      <alignment horizontal="right"/>
    </xf>
    <xf numFmtId="166" fontId="31" fillId="0" borderId="0" xfId="0" applyNumberFormat="1" applyFont="1" applyAlignment="1">
      <alignment horizontal="center"/>
    </xf>
    <xf numFmtId="166" fontId="32" fillId="0" borderId="1" xfId="0" applyNumberFormat="1" applyFont="1" applyBorder="1"/>
    <xf numFmtId="166" fontId="3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/>
    <xf numFmtId="0" fontId="18" fillId="4" borderId="1" xfId="2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/>
    </xf>
    <xf numFmtId="166" fontId="18" fillId="5" borderId="4" xfId="3" applyNumberFormat="1" applyFont="1" applyFill="1" applyBorder="1" applyAlignment="1">
      <alignment horizontal="center"/>
    </xf>
    <xf numFmtId="0" fontId="18" fillId="5" borderId="14" xfId="2" quotePrefix="1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8" fillId="5" borderId="14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66" fontId="2" fillId="5" borderId="14" xfId="0" applyNumberFormat="1" applyFont="1" applyFill="1" applyBorder="1" applyAlignment="1">
      <alignment horizontal="center"/>
    </xf>
    <xf numFmtId="166" fontId="2" fillId="5" borderId="14" xfId="0" quotePrefix="1" applyNumberFormat="1" applyFont="1" applyFill="1" applyBorder="1" applyAlignment="1">
      <alignment horizontal="center"/>
    </xf>
    <xf numFmtId="167" fontId="3" fillId="9" borderId="1" xfId="0" applyNumberFormat="1" applyFont="1" applyFill="1" applyBorder="1" applyAlignment="1">
      <alignment horizontal="left"/>
    </xf>
    <xf numFmtId="0" fontId="18" fillId="9" borderId="1" xfId="2" applyNumberFormat="1" applyFont="1" applyFill="1" applyBorder="1" applyAlignment="1">
      <alignment horizontal="center" vertical="center"/>
    </xf>
    <xf numFmtId="166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left"/>
    </xf>
    <xf numFmtId="4" fontId="2" fillId="9" borderId="1" xfId="0" applyNumberFormat="1" applyFont="1" applyFill="1" applyBorder="1"/>
    <xf numFmtId="166" fontId="2" fillId="9" borderId="1" xfId="2" applyNumberFormat="1" applyFill="1" applyBorder="1" applyAlignment="1">
      <alignment horizontal="right"/>
    </xf>
    <xf numFmtId="166" fontId="2" fillId="9" borderId="1" xfId="0" applyNumberFormat="1" applyFont="1" applyFill="1" applyBorder="1"/>
    <xf numFmtId="166" fontId="2" fillId="9" borderId="1" xfId="0" applyNumberFormat="1" applyFont="1" applyFill="1" applyBorder="1" applyAlignment="1">
      <alignment horizontal="right"/>
    </xf>
    <xf numFmtId="166" fontId="2" fillId="9" borderId="0" xfId="0" applyNumberFormat="1" applyFont="1" applyFill="1"/>
    <xf numFmtId="166" fontId="24" fillId="9" borderId="0" xfId="0" applyNumberFormat="1" applyFont="1" applyFill="1"/>
    <xf numFmtId="166" fontId="18" fillId="5" borderId="0" xfId="0" quotePrefix="1" applyNumberFormat="1" applyFont="1" applyFill="1" applyAlignment="1">
      <alignment horizontal="left"/>
    </xf>
    <xf numFmtId="166" fontId="2" fillId="3" borderId="2" xfId="0" applyNumberFormat="1" applyFont="1" applyFill="1" applyBorder="1" applyAlignment="1">
      <alignment horizontal="left"/>
    </xf>
    <xf numFmtId="14" fontId="3" fillId="10" borderId="1" xfId="0" quotePrefix="1" applyNumberFormat="1" applyFont="1" applyFill="1" applyBorder="1" applyAlignment="1">
      <alignment horizontal="center" vertical="center"/>
    </xf>
    <xf numFmtId="0" fontId="18" fillId="10" borderId="1" xfId="2" applyNumberFormat="1" applyFont="1" applyFill="1" applyBorder="1" applyAlignment="1">
      <alignment horizontal="center" vertical="center"/>
    </xf>
    <xf numFmtId="166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2" fillId="10" borderId="0" xfId="0" applyNumberFormat="1" applyFont="1" applyFill="1"/>
    <xf numFmtId="166" fontId="2" fillId="10" borderId="1" xfId="2" applyNumberFormat="1" applyFill="1" applyBorder="1" applyAlignment="1">
      <alignment horizontal="right"/>
    </xf>
    <xf numFmtId="166" fontId="2" fillId="10" borderId="1" xfId="0" applyNumberFormat="1" applyFont="1" applyFill="1" applyBorder="1"/>
    <xf numFmtId="166" fontId="2" fillId="10" borderId="1" xfId="0" applyNumberFormat="1" applyFont="1" applyFill="1" applyBorder="1" applyAlignment="1">
      <alignment horizontal="right"/>
    </xf>
    <xf numFmtId="166" fontId="24" fillId="10" borderId="0" xfId="0" applyNumberFormat="1" applyFont="1" applyFill="1"/>
    <xf numFmtId="49" fontId="2" fillId="4" borderId="1" xfId="0" applyNumberFormat="1" applyFont="1" applyFill="1" applyBorder="1" applyAlignment="1">
      <alignment horizontal="left" vertical="center"/>
    </xf>
    <xf numFmtId="166" fontId="2" fillId="5" borderId="6" xfId="0" quotePrefix="1" applyNumberFormat="1" applyFont="1" applyFill="1" applyBorder="1" applyAlignment="1">
      <alignment horizontal="left"/>
    </xf>
    <xf numFmtId="14" fontId="3" fillId="9" borderId="1" xfId="0" quotePrefix="1" applyNumberFormat="1" applyFont="1" applyFill="1" applyBorder="1" applyAlignment="1">
      <alignment horizontal="center" vertical="center"/>
    </xf>
    <xf numFmtId="166" fontId="2" fillId="9" borderId="1" xfId="2" applyNumberFormat="1" applyFill="1" applyBorder="1" applyAlignment="1">
      <alignment horizontal="left"/>
    </xf>
    <xf numFmtId="166" fontId="2" fillId="9" borderId="1" xfId="0" applyNumberFormat="1" applyFont="1" applyFill="1" applyBorder="1" applyAlignment="1">
      <alignment horizontal="left"/>
    </xf>
    <xf numFmtId="4" fontId="2" fillId="9" borderId="1" xfId="0" applyNumberFormat="1" applyFont="1" applyFill="1" applyBorder="1" applyAlignment="1">
      <alignment horizontal="center"/>
    </xf>
    <xf numFmtId="14" fontId="2" fillId="9" borderId="1" xfId="2" applyNumberFormat="1" applyFill="1" applyBorder="1" applyAlignment="1">
      <alignment horizontal="center"/>
    </xf>
    <xf numFmtId="14" fontId="21" fillId="9" borderId="1" xfId="0" applyNumberFormat="1" applyFont="1" applyFill="1" applyBorder="1" applyAlignment="1">
      <alignment horizontal="center"/>
    </xf>
    <xf numFmtId="166" fontId="21" fillId="9" borderId="1" xfId="0" quotePrefix="1" applyNumberFormat="1" applyFont="1" applyFill="1" applyBorder="1" applyAlignment="1">
      <alignment horizontal="center"/>
    </xf>
    <xf numFmtId="166" fontId="21" fillId="9" borderId="1" xfId="0" applyNumberFormat="1" applyFont="1" applyFill="1" applyBorder="1" applyAlignment="1">
      <alignment horizontal="center"/>
    </xf>
    <xf numFmtId="166" fontId="2" fillId="9" borderId="0" xfId="0" applyNumberFormat="1" applyFont="1" applyFill="1" applyAlignment="1">
      <alignment horizontal="left"/>
    </xf>
    <xf numFmtId="0" fontId="18" fillId="9" borderId="1" xfId="2" quotePrefix="1" applyNumberFormat="1" applyFont="1" applyFill="1" applyBorder="1" applyAlignment="1">
      <alignment horizontal="center" vertical="center"/>
    </xf>
    <xf numFmtId="166" fontId="2" fillId="9" borderId="1" xfId="0" quotePrefix="1" applyNumberFormat="1" applyFont="1" applyFill="1" applyBorder="1" applyAlignment="1">
      <alignment horizontal="center"/>
    </xf>
    <xf numFmtId="166" fontId="26" fillId="9" borderId="1" xfId="0" applyNumberFormat="1" applyFont="1" applyFill="1" applyBorder="1" applyAlignment="1">
      <alignment wrapText="1"/>
    </xf>
    <xf numFmtId="166" fontId="2" fillId="3" borderId="14" xfId="0" applyNumberFormat="1" applyFont="1" applyFill="1" applyBorder="1" applyAlignment="1">
      <alignment horizontal="left"/>
    </xf>
    <xf numFmtId="14" fontId="2" fillId="9" borderId="14" xfId="2" applyNumberFormat="1" applyFill="1" applyBorder="1" applyAlignment="1">
      <alignment horizontal="center"/>
    </xf>
    <xf numFmtId="0" fontId="18" fillId="9" borderId="14" xfId="2" applyNumberFormat="1" applyFont="1" applyFill="1" applyBorder="1" applyAlignment="1">
      <alignment horizontal="center" vertical="center"/>
    </xf>
    <xf numFmtId="166" fontId="2" fillId="9" borderId="14" xfId="2" applyNumberFormat="1" applyFill="1" applyBorder="1" applyAlignment="1">
      <alignment horizontal="right"/>
    </xf>
    <xf numFmtId="166" fontId="18" fillId="0" borderId="0" xfId="0" applyNumberFormat="1" applyFont="1" applyAlignment="1">
      <alignment horizontal="left"/>
    </xf>
    <xf numFmtId="166" fontId="4" fillId="5" borderId="1" xfId="0" applyNumberFormat="1" applyFont="1" applyFill="1" applyBorder="1" applyAlignment="1">
      <alignment horizontal="left" vertical="center"/>
    </xf>
    <xf numFmtId="0" fontId="4" fillId="0" borderId="5" xfId="2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 vertical="center"/>
    </xf>
    <xf numFmtId="0" fontId="14" fillId="0" borderId="1" xfId="0" applyFont="1" applyBorder="1"/>
    <xf numFmtId="16" fontId="14" fillId="0" borderId="1" xfId="0" applyNumberFormat="1" applyFont="1" applyBorder="1"/>
    <xf numFmtId="166" fontId="3" fillId="3" borderId="2" xfId="2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 vertical="top"/>
    </xf>
    <xf numFmtId="4" fontId="4" fillId="3" borderId="1" xfId="0" applyNumberFormat="1" applyFont="1" applyFill="1" applyBorder="1"/>
    <xf numFmtId="0" fontId="4" fillId="0" borderId="1" xfId="4" applyNumberFormat="1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wrapText="1"/>
    </xf>
    <xf numFmtId="166" fontId="3" fillId="3" borderId="3" xfId="0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0" fontId="10" fillId="0" borderId="14" xfId="0" applyFont="1" applyBorder="1" applyAlignment="1">
      <alignment horizontal="left"/>
    </xf>
    <xf numFmtId="166" fontId="3" fillId="3" borderId="16" xfId="2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166" fontId="14" fillId="0" borderId="0" xfId="0" applyNumberFormat="1" applyFont="1"/>
    <xf numFmtId="4" fontId="3" fillId="4" borderId="1" xfId="0" applyNumberFormat="1" applyFont="1" applyFill="1" applyBorder="1"/>
    <xf numFmtId="166" fontId="3" fillId="3" borderId="2" xfId="2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3" fillId="3" borderId="1" xfId="2" applyNumberFormat="1" applyFont="1" applyFill="1" applyBorder="1" applyAlignment="1">
      <alignment wrapText="1"/>
    </xf>
    <xf numFmtId="0" fontId="3" fillId="3" borderId="1" xfId="0" quotePrefix="1" applyFont="1" applyFill="1" applyBorder="1" applyAlignment="1">
      <alignment horizontal="center"/>
    </xf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14" fontId="34" fillId="3" borderId="1" xfId="2" applyNumberFormat="1" applyFont="1" applyFill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/>
    <xf numFmtId="166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34" fillId="3" borderId="1" xfId="0" applyNumberFormat="1" applyFont="1" applyFill="1" applyBorder="1" applyAlignment="1">
      <alignment horizontal="left"/>
    </xf>
    <xf numFmtId="0" fontId="36" fillId="0" borderId="1" xfId="2" applyNumberFormat="1" applyFont="1" applyBorder="1" applyAlignment="1">
      <alignment horizontal="center" vertical="center"/>
    </xf>
    <xf numFmtId="0" fontId="36" fillId="0" borderId="1" xfId="2" quotePrefix="1" applyNumberFormat="1" applyFont="1" applyBorder="1" applyAlignment="1">
      <alignment horizontal="center" vertical="center"/>
    </xf>
    <xf numFmtId="43" fontId="14" fillId="0" borderId="0" xfId="0" applyNumberFormat="1" applyFont="1"/>
    <xf numFmtId="0" fontId="14" fillId="11" borderId="1" xfId="0" applyFont="1" applyFill="1" applyBorder="1"/>
    <xf numFmtId="16" fontId="14" fillId="11" borderId="1" xfId="0" applyNumberFormat="1" applyFont="1" applyFill="1" applyBorder="1"/>
    <xf numFmtId="166" fontId="3" fillId="11" borderId="1" xfId="0" applyNumberFormat="1" applyFont="1" applyFill="1" applyBorder="1"/>
    <xf numFmtId="0" fontId="10" fillId="11" borderId="4" xfId="0" applyFont="1" applyFill="1" applyBorder="1" applyAlignment="1">
      <alignment wrapText="1"/>
    </xf>
    <xf numFmtId="14" fontId="3" fillId="11" borderId="1" xfId="2" applyNumberFormat="1" applyFont="1" applyFill="1" applyBorder="1" applyAlignment="1">
      <alignment horizontal="center"/>
    </xf>
    <xf numFmtId="0" fontId="4" fillId="11" borderId="1" xfId="2" quotePrefix="1" applyNumberFormat="1" applyFont="1" applyFill="1" applyBorder="1" applyAlignment="1">
      <alignment horizontal="center" vertical="center"/>
    </xf>
    <xf numFmtId="166" fontId="4" fillId="11" borderId="1" xfId="0" applyNumberFormat="1" applyFont="1" applyFill="1" applyBorder="1"/>
    <xf numFmtId="166" fontId="38" fillId="3" borderId="1" xfId="0" applyNumberFormat="1" applyFont="1" applyFill="1" applyBorder="1" applyAlignment="1">
      <alignment horizontal="right" vertical="top"/>
    </xf>
    <xf numFmtId="166" fontId="3" fillId="3" borderId="3" xfId="0" applyNumberFormat="1" applyFont="1" applyFill="1" applyBorder="1"/>
    <xf numFmtId="167" fontId="34" fillId="3" borderId="1" xfId="0" applyNumberFormat="1" applyFont="1" applyFill="1" applyBorder="1" applyAlignment="1">
      <alignment horizontal="center"/>
    </xf>
    <xf numFmtId="0" fontId="34" fillId="3" borderId="1" xfId="0" quotePrefix="1" applyFont="1" applyFill="1" applyBorder="1" applyAlignment="1">
      <alignment horizontal="center"/>
    </xf>
    <xf numFmtId="166" fontId="34" fillId="3" borderId="1" xfId="2" applyNumberFormat="1" applyFont="1" applyFill="1" applyBorder="1" applyAlignment="1">
      <alignment horizontal="right"/>
    </xf>
    <xf numFmtId="166" fontId="34" fillId="3" borderId="1" xfId="0" applyNumberFormat="1" applyFont="1" applyFill="1" applyBorder="1"/>
    <xf numFmtId="0" fontId="36" fillId="3" borderId="1" xfId="2" applyNumberFormat="1" applyFont="1" applyFill="1" applyBorder="1" applyAlignment="1">
      <alignment horizontal="center" vertical="center"/>
    </xf>
    <xf numFmtId="166" fontId="34" fillId="3" borderId="1" xfId="0" applyNumberFormat="1" applyFont="1" applyFill="1" applyBorder="1" applyAlignment="1">
      <alignment horizontal="center"/>
    </xf>
    <xf numFmtId="166" fontId="34" fillId="3" borderId="1" xfId="2" applyNumberFormat="1" applyFont="1" applyFill="1" applyBorder="1" applyAlignment="1">
      <alignment horizontal="left"/>
    </xf>
    <xf numFmtId="166" fontId="34" fillId="3" borderId="3" xfId="0" applyNumberFormat="1" applyFont="1" applyFill="1" applyBorder="1"/>
    <xf numFmtId="0" fontId="34" fillId="0" borderId="1" xfId="0" quotePrefix="1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166" fontId="34" fillId="3" borderId="1" xfId="0" applyNumberFormat="1" applyFont="1" applyFill="1" applyBorder="1" applyAlignment="1">
      <alignment horizontal="right" vertical="top"/>
    </xf>
    <xf numFmtId="0" fontId="34" fillId="0" borderId="1" xfId="0" quotePrefix="1" applyFont="1" applyBorder="1" applyAlignment="1">
      <alignment horizontal="center"/>
    </xf>
    <xf numFmtId="0" fontId="34" fillId="0" borderId="1" xfId="0" quotePrefix="1" applyFont="1" applyBorder="1" applyAlignment="1">
      <alignment horizontal="left"/>
    </xf>
    <xf numFmtId="166" fontId="40" fillId="3" borderId="1" xfId="0" applyNumberFormat="1" applyFont="1" applyFill="1" applyBorder="1"/>
    <xf numFmtId="166" fontId="41" fillId="3" borderId="1" xfId="0" applyNumberFormat="1" applyFont="1" applyFill="1" applyBorder="1"/>
    <xf numFmtId="167" fontId="44" fillId="3" borderId="1" xfId="0" applyNumberFormat="1" applyFont="1" applyFill="1" applyBorder="1" applyAlignment="1">
      <alignment horizontal="center"/>
    </xf>
    <xf numFmtId="0" fontId="44" fillId="0" borderId="1" xfId="0" quotePrefix="1" applyFont="1" applyBorder="1" applyAlignment="1">
      <alignment horizontal="center"/>
    </xf>
    <xf numFmtId="0" fontId="45" fillId="3" borderId="1" xfId="2" applyNumberFormat="1" applyFont="1" applyFill="1" applyBorder="1" applyAlignment="1">
      <alignment horizontal="center" vertical="center"/>
    </xf>
    <xf numFmtId="166" fontId="44" fillId="3" borderId="1" xfId="0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left"/>
    </xf>
    <xf numFmtId="166" fontId="44" fillId="3" borderId="1" xfId="0" applyNumberFormat="1" applyFont="1" applyFill="1" applyBorder="1" applyAlignment="1">
      <alignment horizontal="right" vertical="top"/>
    </xf>
    <xf numFmtId="166" fontId="44" fillId="3" borderId="1" xfId="0" applyNumberFormat="1" applyFont="1" applyFill="1" applyBorder="1"/>
    <xf numFmtId="0" fontId="44" fillId="0" borderId="1" xfId="0" quotePrefix="1" applyNumberFormat="1" applyFont="1" applyFill="1" applyBorder="1" applyAlignment="1">
      <alignment horizontal="center"/>
    </xf>
    <xf numFmtId="0" fontId="45" fillId="0" borderId="1" xfId="2" applyNumberFormat="1" applyFont="1" applyBorder="1" applyAlignment="1">
      <alignment horizontal="center" vertical="center"/>
    </xf>
    <xf numFmtId="0" fontId="44" fillId="0" borderId="1" xfId="0" quotePrefix="1" applyFont="1" applyBorder="1" applyAlignment="1">
      <alignment horizontal="left"/>
    </xf>
    <xf numFmtId="166" fontId="44" fillId="3" borderId="1" xfId="2" applyNumberFormat="1" applyFont="1" applyFill="1" applyBorder="1" applyAlignment="1">
      <alignment horizontal="left"/>
    </xf>
    <xf numFmtId="167" fontId="46" fillId="3" borderId="1" xfId="0" applyNumberFormat="1" applyFont="1" applyFill="1" applyBorder="1" applyAlignment="1">
      <alignment horizontal="center"/>
    </xf>
    <xf numFmtId="0" fontId="46" fillId="0" borderId="1" xfId="0" quotePrefix="1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66" fontId="46" fillId="3" borderId="1" xfId="0" applyNumberFormat="1" applyFont="1" applyFill="1" applyBorder="1" applyAlignment="1">
      <alignment horizontal="right" vertical="top"/>
    </xf>
    <xf numFmtId="0" fontId="46" fillId="0" borderId="1" xfId="0" quotePrefix="1" applyFont="1" applyBorder="1" applyAlignment="1">
      <alignment horizontal="center"/>
    </xf>
    <xf numFmtId="0" fontId="45" fillId="3" borderId="1" xfId="2" applyNumberFormat="1" applyFont="1" applyFill="1" applyBorder="1" applyAlignment="1">
      <alignment vertical="center"/>
    </xf>
    <xf numFmtId="0" fontId="47" fillId="3" borderId="1" xfId="2" applyNumberFormat="1" applyFont="1" applyFill="1" applyBorder="1" applyAlignment="1">
      <alignment horizontal="left" vertical="center"/>
    </xf>
    <xf numFmtId="166" fontId="46" fillId="3" borderId="1" xfId="0" applyNumberFormat="1" applyFont="1" applyFill="1" applyBorder="1" applyAlignment="1">
      <alignment horizontal="center"/>
    </xf>
    <xf numFmtId="167" fontId="48" fillId="3" borderId="1" xfId="0" applyNumberFormat="1" applyFont="1" applyFill="1" applyBorder="1" applyAlignment="1">
      <alignment horizontal="center"/>
    </xf>
    <xf numFmtId="0" fontId="48" fillId="0" borderId="1" xfId="0" quotePrefix="1" applyFont="1" applyBorder="1" applyAlignment="1">
      <alignment horizontal="center"/>
    </xf>
    <xf numFmtId="0" fontId="48" fillId="0" borderId="1" xfId="0" quotePrefix="1" applyFont="1" applyBorder="1" applyAlignment="1">
      <alignment horizontal="left"/>
    </xf>
    <xf numFmtId="0" fontId="48" fillId="0" borderId="1" xfId="0" applyFont="1" applyBorder="1" applyAlignment="1">
      <alignment horizontal="left"/>
    </xf>
    <xf numFmtId="166" fontId="48" fillId="3" borderId="1" xfId="0" applyNumberFormat="1" applyFont="1" applyFill="1" applyBorder="1" applyAlignment="1">
      <alignment horizontal="right" vertical="top"/>
    </xf>
    <xf numFmtId="0" fontId="49" fillId="0" borderId="1" xfId="2" applyNumberFormat="1" applyFont="1" applyBorder="1" applyAlignment="1">
      <alignment horizontal="center" vertical="center"/>
    </xf>
    <xf numFmtId="0" fontId="49" fillId="3" borderId="1" xfId="2" applyNumberFormat="1" applyFont="1" applyFill="1" applyBorder="1" applyAlignment="1">
      <alignment horizontal="center" vertical="center"/>
    </xf>
    <xf numFmtId="166" fontId="48" fillId="3" borderId="1" xfId="0" applyNumberFormat="1" applyFont="1" applyFill="1" applyBorder="1" applyAlignment="1">
      <alignment horizontal="center"/>
    </xf>
    <xf numFmtId="49" fontId="29" fillId="0" borderId="26" xfId="0" applyNumberFormat="1" applyFont="1" applyBorder="1" applyAlignment="1">
      <alignment horizontal="left"/>
    </xf>
    <xf numFmtId="49" fontId="50" fillId="0" borderId="26" xfId="0" applyNumberFormat="1" applyFont="1" applyBorder="1" applyAlignment="1">
      <alignment horizontal="left"/>
    </xf>
    <xf numFmtId="167" fontId="34" fillId="3" borderId="1" xfId="0" applyNumberFormat="1" applyFont="1" applyFill="1" applyBorder="1" applyAlignment="1"/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wrapText="1"/>
    </xf>
    <xf numFmtId="0" fontId="42" fillId="0" borderId="1" xfId="0" applyFont="1" applyFill="1" applyBorder="1" applyAlignment="1">
      <alignment wrapText="1"/>
    </xf>
    <xf numFmtId="166" fontId="3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0" fillId="0" borderId="1" xfId="0" applyFont="1" applyFill="1" applyBorder="1" applyAlignment="1"/>
    <xf numFmtId="0" fontId="14" fillId="0" borderId="1" xfId="0" applyFont="1" applyBorder="1" applyAlignment="1">
      <alignment wrapText="1"/>
    </xf>
    <xf numFmtId="166" fontId="3" fillId="3" borderId="1" xfId="2" applyNumberFormat="1" applyFont="1" applyFill="1" applyBorder="1" applyAlignment="1"/>
    <xf numFmtId="166" fontId="3" fillId="3" borderId="1" xfId="2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/>
    </xf>
    <xf numFmtId="166" fontId="3" fillId="0" borderId="1" xfId="2" applyNumberFormat="1" applyFont="1" applyFill="1" applyBorder="1" applyAlignment="1"/>
    <xf numFmtId="166" fontId="3" fillId="0" borderId="1" xfId="2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4" fontId="3" fillId="0" borderId="1" xfId="2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1" xfId="2" quotePrefix="1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left"/>
    </xf>
    <xf numFmtId="0" fontId="14" fillId="0" borderId="1" xfId="0" applyFont="1" applyFill="1" applyBorder="1"/>
    <xf numFmtId="0" fontId="39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166" fontId="3" fillId="0" borderId="1" xfId="0" applyNumberFormat="1" applyFont="1" applyFill="1" applyBorder="1"/>
    <xf numFmtId="166" fontId="4" fillId="0" borderId="1" xfId="0" applyNumberFormat="1" applyFont="1" applyFill="1" applyBorder="1"/>
    <xf numFmtId="0" fontId="4" fillId="0" borderId="1" xfId="2" quotePrefix="1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 wrapText="1"/>
    </xf>
    <xf numFmtId="16" fontId="14" fillId="0" borderId="1" xfId="0" applyNumberFormat="1" applyFont="1" applyFill="1" applyBorder="1"/>
    <xf numFmtId="49" fontId="3" fillId="0" borderId="1" xfId="0" applyNumberFormat="1" applyFont="1" applyFill="1" applyBorder="1" applyAlignment="1">
      <alignment vertical="center" wrapText="1"/>
    </xf>
    <xf numFmtId="166" fontId="3" fillId="0" borderId="1" xfId="0" applyNumberFormat="1" applyFont="1" applyFill="1" applyBorder="1" applyAlignment="1">
      <alignment horizontal="right"/>
    </xf>
    <xf numFmtId="0" fontId="14" fillId="0" borderId="0" xfId="0" applyFont="1" applyFill="1"/>
    <xf numFmtId="166" fontId="3" fillId="0" borderId="1" xfId="2" applyNumberFormat="1" applyFont="1" applyFill="1" applyBorder="1" applyAlignment="1">
      <alignment wrapText="1"/>
    </xf>
    <xf numFmtId="166" fontId="2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/>
    </xf>
    <xf numFmtId="166" fontId="4" fillId="4" borderId="1" xfId="0" applyNumberFormat="1" applyFont="1" applyFill="1" applyBorder="1" applyAlignment="1">
      <alignment horizontal="right" vertical="center"/>
    </xf>
    <xf numFmtId="166" fontId="18" fillId="0" borderId="1" xfId="0" applyNumberFormat="1" applyFont="1" applyBorder="1" applyAlignment="1">
      <alignment horizontal="right" vertical="center"/>
    </xf>
    <xf numFmtId="166" fontId="28" fillId="5" borderId="0" xfId="0" applyNumberFormat="1" applyFont="1" applyFill="1" applyAlignment="1">
      <alignment horizontal="center" vertical="center"/>
    </xf>
    <xf numFmtId="166" fontId="28" fillId="5" borderId="8" xfId="0" applyNumberFormat="1" applyFont="1" applyFill="1" applyBorder="1" applyAlignment="1">
      <alignment horizontal="center" vertical="center"/>
    </xf>
    <xf numFmtId="166" fontId="18" fillId="5" borderId="2" xfId="0" applyNumberFormat="1" applyFont="1" applyFill="1" applyBorder="1" applyAlignment="1">
      <alignment horizontal="center" vertical="center" wrapText="1"/>
    </xf>
    <xf numFmtId="166" fontId="18" fillId="5" borderId="3" xfId="0" applyNumberFormat="1" applyFont="1" applyFill="1" applyBorder="1" applyAlignment="1">
      <alignment horizontal="center" vertical="center" wrapText="1"/>
    </xf>
    <xf numFmtId="166" fontId="18" fillId="5" borderId="4" xfId="0" applyNumberFormat="1" applyFont="1" applyFill="1" applyBorder="1" applyAlignment="1">
      <alignment horizontal="center" vertical="center" wrapText="1"/>
    </xf>
    <xf numFmtId="166" fontId="2" fillId="3" borderId="2" xfId="2" applyNumberFormat="1" applyFill="1" applyBorder="1" applyAlignment="1">
      <alignment horizontal="center" wrapText="1"/>
    </xf>
    <xf numFmtId="166" fontId="2" fillId="3" borderId="3" xfId="2" applyNumberFormat="1" applyFill="1" applyBorder="1" applyAlignment="1">
      <alignment horizontal="center" wrapText="1"/>
    </xf>
    <xf numFmtId="166" fontId="2" fillId="3" borderId="4" xfId="2" applyNumberFormat="1" applyFill="1" applyBorder="1" applyAlignment="1">
      <alignment horizontal="center" wrapText="1"/>
    </xf>
    <xf numFmtId="0" fontId="18" fillId="3" borderId="2" xfId="2" applyNumberFormat="1" applyFont="1" applyFill="1" applyBorder="1" applyAlignment="1">
      <alignment horizontal="center" vertical="center" wrapText="1"/>
    </xf>
    <xf numFmtId="0" fontId="18" fillId="3" borderId="4" xfId="2" applyNumberFormat="1" applyFont="1" applyFill="1" applyBorder="1" applyAlignment="1">
      <alignment horizontal="center" vertical="center" wrapText="1"/>
    </xf>
    <xf numFmtId="0" fontId="18" fillId="5" borderId="2" xfId="2" quotePrefix="1" applyNumberFormat="1" applyFont="1" applyFill="1" applyBorder="1" applyAlignment="1">
      <alignment horizontal="center" vertical="center" wrapText="1"/>
    </xf>
    <xf numFmtId="0" fontId="18" fillId="5" borderId="4" xfId="2" applyNumberFormat="1" applyFont="1" applyFill="1" applyBorder="1" applyAlignment="1">
      <alignment horizontal="center" vertical="center" wrapText="1"/>
    </xf>
    <xf numFmtId="166" fontId="20" fillId="5" borderId="16" xfId="1" applyNumberFormat="1" applyFont="1" applyFill="1" applyBorder="1" applyAlignment="1">
      <alignment horizontal="center" vertical="center" wrapText="1"/>
    </xf>
    <xf numFmtId="166" fontId="20" fillId="5" borderId="17" xfId="1" applyNumberFormat="1" applyFont="1" applyFill="1" applyBorder="1" applyAlignment="1">
      <alignment horizontal="center" vertical="center" wrapText="1"/>
    </xf>
    <xf numFmtId="166" fontId="20" fillId="5" borderId="18" xfId="1" applyNumberFormat="1" applyFont="1" applyFill="1" applyBorder="1" applyAlignment="1">
      <alignment horizontal="center" vertical="center" wrapText="1"/>
    </xf>
    <xf numFmtId="166" fontId="20" fillId="5" borderId="9" xfId="1" applyNumberFormat="1" applyFont="1" applyFill="1" applyBorder="1" applyAlignment="1">
      <alignment horizontal="center" vertical="center" wrapText="1"/>
    </xf>
    <xf numFmtId="166" fontId="20" fillId="5" borderId="8" xfId="1" applyNumberFormat="1" applyFont="1" applyFill="1" applyBorder="1" applyAlignment="1">
      <alignment horizontal="center" vertical="center" wrapText="1"/>
    </xf>
    <xf numFmtId="166" fontId="20" fillId="5" borderId="10" xfId="1" applyNumberFormat="1" applyFont="1" applyFill="1" applyBorder="1" applyAlignment="1">
      <alignment horizontal="center" vertical="center" wrapText="1"/>
    </xf>
    <xf numFmtId="166" fontId="21" fillId="5" borderId="2" xfId="0" applyNumberFormat="1" applyFont="1" applyFill="1" applyBorder="1" applyAlignment="1">
      <alignment horizontal="center"/>
    </xf>
    <xf numFmtId="166" fontId="21" fillId="5" borderId="3" xfId="0" applyNumberFormat="1" applyFont="1" applyFill="1" applyBorder="1" applyAlignment="1">
      <alignment horizontal="center"/>
    </xf>
    <xf numFmtId="166" fontId="21" fillId="5" borderId="4" xfId="0" applyNumberFormat="1" applyFont="1" applyFill="1" applyBorder="1" applyAlignment="1">
      <alignment horizontal="center"/>
    </xf>
    <xf numFmtId="166" fontId="18" fillId="5" borderId="2" xfId="3" applyNumberFormat="1" applyFont="1" applyFill="1" applyBorder="1" applyAlignment="1">
      <alignment horizontal="center"/>
    </xf>
    <xf numFmtId="166" fontId="18" fillId="5" borderId="4" xfId="3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66" fontId="9" fillId="5" borderId="8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 wrapText="1"/>
    </xf>
    <xf numFmtId="166" fontId="4" fillId="5" borderId="3" xfId="0" applyNumberFormat="1" applyFont="1" applyFill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 wrapText="1"/>
    </xf>
    <xf numFmtId="166" fontId="5" fillId="5" borderId="9" xfId="1" applyNumberFormat="1" applyFont="1" applyFill="1" applyBorder="1" applyAlignment="1">
      <alignment horizontal="center" vertical="center" wrapText="1"/>
    </xf>
    <xf numFmtId="166" fontId="5" fillId="5" borderId="8" xfId="1" applyNumberFormat="1" applyFont="1" applyFill="1" applyBorder="1" applyAlignment="1">
      <alignment horizontal="center" vertical="center" wrapText="1"/>
    </xf>
    <xf numFmtId="166" fontId="5" fillId="5" borderId="10" xfId="1" applyNumberFormat="1" applyFont="1" applyFill="1" applyBorder="1" applyAlignment="1">
      <alignment horizontal="center" vertical="center" wrapText="1"/>
    </xf>
    <xf numFmtId="166" fontId="4" fillId="5" borderId="2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166" fontId="4" fillId="5" borderId="4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166" fontId="11" fillId="5" borderId="1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166" fontId="3" fillId="3" borderId="2" xfId="2" applyNumberFormat="1" applyFont="1" applyFill="1" applyBorder="1" applyAlignment="1">
      <alignment horizontal="center" wrapText="1"/>
    </xf>
    <xf numFmtId="166" fontId="3" fillId="3" borderId="3" xfId="2" applyNumberFormat="1" applyFont="1" applyFill="1" applyBorder="1" applyAlignment="1">
      <alignment horizontal="center" wrapText="1"/>
    </xf>
    <xf numFmtId="166" fontId="3" fillId="3" borderId="4" xfId="2" applyNumberFormat="1" applyFont="1" applyFill="1" applyBorder="1" applyAlignment="1">
      <alignment horizontal="center" wrapText="1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66" fontId="3" fillId="3" borderId="2" xfId="2" applyNumberFormat="1" applyFont="1" applyFill="1" applyBorder="1" applyAlignment="1">
      <alignment horizontal="center"/>
    </xf>
    <xf numFmtId="166" fontId="3" fillId="3" borderId="3" xfId="2" applyNumberFormat="1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14" fillId="10" borderId="2" xfId="0" applyFont="1" applyFill="1" applyBorder="1" applyAlignment="1">
      <alignment horizontal="left" wrapText="1"/>
    </xf>
    <xf numFmtId="0" fontId="14" fillId="10" borderId="3" xfId="0" applyFont="1" applyFill="1" applyBorder="1" applyAlignment="1">
      <alignment horizontal="left" wrapText="1"/>
    </xf>
    <xf numFmtId="0" fontId="14" fillId="10" borderId="4" xfId="0" applyFont="1" applyFill="1" applyBorder="1" applyAlignment="1">
      <alignment horizontal="left" wrapText="1"/>
    </xf>
    <xf numFmtId="0" fontId="14" fillId="10" borderId="2" xfId="0" applyFont="1" applyFill="1" applyBorder="1" applyAlignment="1">
      <alignment horizontal="center" wrapText="1"/>
    </xf>
    <xf numFmtId="0" fontId="14" fillId="10" borderId="3" xfId="0" applyFont="1" applyFill="1" applyBorder="1" applyAlignment="1">
      <alignment horizontal="center" wrapText="1"/>
    </xf>
    <xf numFmtId="0" fontId="14" fillId="10" borderId="4" xfId="0" applyFont="1" applyFill="1" applyBorder="1" applyAlignment="1">
      <alignment horizontal="center" wrapText="1"/>
    </xf>
    <xf numFmtId="166" fontId="3" fillId="3" borderId="2" xfId="0" applyNumberFormat="1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 wrapText="1"/>
    </xf>
    <xf numFmtId="166" fontId="3" fillId="3" borderId="3" xfId="0" applyNumberFormat="1" applyFont="1" applyFill="1" applyBorder="1" applyAlignment="1">
      <alignment horizontal="center" wrapText="1"/>
    </xf>
    <xf numFmtId="166" fontId="3" fillId="3" borderId="4" xfId="0" applyNumberFormat="1" applyFont="1" applyFill="1" applyBorder="1" applyAlignment="1">
      <alignment horizontal="center" wrapText="1"/>
    </xf>
    <xf numFmtId="166" fontId="4" fillId="3" borderId="2" xfId="0" applyNumberFormat="1" applyFont="1" applyFill="1" applyBorder="1" applyAlignment="1">
      <alignment horizontal="center" wrapText="1"/>
    </xf>
    <xf numFmtId="166" fontId="4" fillId="3" borderId="3" xfId="0" applyNumberFormat="1" applyFont="1" applyFill="1" applyBorder="1" applyAlignment="1">
      <alignment horizontal="center" wrapText="1"/>
    </xf>
    <xf numFmtId="166" fontId="4" fillId="3" borderId="4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49" fontId="34" fillId="0" borderId="2" xfId="0" applyNumberFormat="1" applyFont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0" fontId="42" fillId="13" borderId="2" xfId="0" applyFont="1" applyFill="1" applyBorder="1" applyAlignment="1">
      <alignment wrapText="1"/>
    </xf>
    <xf numFmtId="0" fontId="42" fillId="13" borderId="3" xfId="0" applyFont="1" applyFill="1" applyBorder="1" applyAlignment="1">
      <alignment wrapText="1"/>
    </xf>
    <xf numFmtId="0" fontId="42" fillId="13" borderId="4" xfId="0" applyFont="1" applyFill="1" applyBorder="1" applyAlignment="1">
      <alignment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166" fontId="36" fillId="5" borderId="2" xfId="0" applyNumberFormat="1" applyFont="1" applyFill="1" applyBorder="1" applyAlignment="1">
      <alignment horizontal="center"/>
    </xf>
    <xf numFmtId="166" fontId="36" fillId="5" borderId="3" xfId="0" applyNumberFormat="1" applyFont="1" applyFill="1" applyBorder="1" applyAlignment="1">
      <alignment horizontal="center"/>
    </xf>
    <xf numFmtId="166" fontId="36" fillId="5" borderId="4" xfId="0" applyNumberFormat="1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horizontal="center" wrapText="1"/>
    </xf>
    <xf numFmtId="0" fontId="10" fillId="11" borderId="4" xfId="0" applyFont="1" applyFill="1" applyBorder="1" applyAlignment="1">
      <alignment horizont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0" fontId="39" fillId="3" borderId="2" xfId="0" applyFont="1" applyFill="1" applyBorder="1" applyAlignment="1">
      <alignment wrapText="1"/>
    </xf>
    <xf numFmtId="0" fontId="39" fillId="3" borderId="3" xfId="0" applyFont="1" applyFill="1" applyBorder="1" applyAlignment="1">
      <alignment wrapText="1"/>
    </xf>
    <xf numFmtId="0" fontId="39" fillId="3" borderId="4" xfId="0" applyFont="1" applyFill="1" applyBorder="1" applyAlignment="1">
      <alignment wrapText="1"/>
    </xf>
    <xf numFmtId="0" fontId="43" fillId="0" borderId="2" xfId="0" applyFont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43" fillId="0" borderId="4" xfId="0" applyFont="1" applyBorder="1" applyAlignment="1">
      <alignment horizontal="center" wrapText="1"/>
    </xf>
    <xf numFmtId="0" fontId="14" fillId="12" borderId="2" xfId="0" applyFont="1" applyFill="1" applyBorder="1" applyAlignment="1">
      <alignment horizontal="center" wrapText="1"/>
    </xf>
    <xf numFmtId="0" fontId="14" fillId="12" borderId="3" xfId="0" applyFont="1" applyFill="1" applyBorder="1" applyAlignment="1">
      <alignment horizontal="center" wrapText="1"/>
    </xf>
    <xf numFmtId="0" fontId="14" fillId="12" borderId="4" xfId="0" applyFont="1" applyFill="1" applyBorder="1" applyAlignment="1">
      <alignment horizontal="center" wrapText="1"/>
    </xf>
    <xf numFmtId="0" fontId="39" fillId="3" borderId="2" xfId="0" applyFont="1" applyFill="1" applyBorder="1" applyAlignment="1">
      <alignment horizontal="left" wrapText="1"/>
    </xf>
    <xf numFmtId="0" fontId="39" fillId="3" borderId="3" xfId="0" applyFont="1" applyFill="1" applyBorder="1" applyAlignment="1">
      <alignment horizontal="left" wrapText="1"/>
    </xf>
    <xf numFmtId="0" fontId="39" fillId="3" borderId="4" xfId="0" applyFont="1" applyFill="1" applyBorder="1" applyAlignment="1">
      <alignment horizontal="left" wrapText="1"/>
    </xf>
    <xf numFmtId="0" fontId="4" fillId="0" borderId="2" xfId="2" quotePrefix="1" applyNumberFormat="1" applyFont="1" applyBorder="1" applyAlignment="1">
      <alignment horizontal="center" vertical="center"/>
    </xf>
    <xf numFmtId="0" fontId="4" fillId="0" borderId="4" xfId="2" quotePrefix="1" applyNumberFormat="1" applyFont="1" applyBorder="1" applyAlignment="1">
      <alignment horizontal="center" vertical="center"/>
    </xf>
    <xf numFmtId="0" fontId="18" fillId="9" borderId="2" xfId="2" applyNumberFormat="1" applyFont="1" applyFill="1" applyBorder="1" applyAlignment="1">
      <alignment horizontal="center" vertical="center" wrapText="1"/>
    </xf>
    <xf numFmtId="0" fontId="18" fillId="9" borderId="4" xfId="2" applyNumberFormat="1" applyFont="1" applyFill="1" applyBorder="1" applyAlignment="1">
      <alignment horizontal="center" vertical="center" wrapText="1"/>
    </xf>
    <xf numFmtId="0" fontId="18" fillId="3" borderId="3" xfId="2" applyNumberFormat="1" applyFont="1" applyFill="1" applyBorder="1" applyAlignment="1">
      <alignment horizontal="center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</cellXfs>
  <cellStyles count="5">
    <cellStyle name="20% - Énfasis5" xfId="1" builtinId="46"/>
    <cellStyle name="Neutral" xfId="3" builtinId="28"/>
    <cellStyle name="Normal" xfId="0" builtinId="0"/>
    <cellStyle name="Normal 2" xfId="2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D/CTI/2020/CONCILIACIONES/EN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CO%20D/CTI/2020/CONCILIACIONES/RFEBR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OS%20DE%20PRODUCCION%202018/INGRESOS%20EGRESOS%20CENTROS%20DE%20PRODUCCI&#211;N/OTROS%20CENTROS%20ACTUALIZADOS-ACTU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IEMBRE 2019"/>
      <sheetName val="NOVIEMBRE 2019"/>
      <sheetName val="DICIEMBRE 2019"/>
      <sheetName val="ENERO"/>
      <sheetName val="DATA"/>
    </sheetNames>
    <sheetDataSet>
      <sheetData sheetId="0"/>
      <sheetData sheetId="1"/>
      <sheetData sheetId="2"/>
      <sheetData sheetId="3">
        <row r="32">
          <cell r="K32">
            <v>4464</v>
          </cell>
        </row>
        <row r="77">
          <cell r="K77">
            <v>9856</v>
          </cell>
        </row>
        <row r="87">
          <cell r="K87">
            <v>1666</v>
          </cell>
        </row>
        <row r="137">
          <cell r="K137">
            <v>9032</v>
          </cell>
        </row>
        <row r="160">
          <cell r="K160">
            <v>5027</v>
          </cell>
        </row>
        <row r="185">
          <cell r="K185">
            <v>4056</v>
          </cell>
        </row>
        <row r="220">
          <cell r="K220">
            <v>6870</v>
          </cell>
        </row>
        <row r="282">
          <cell r="K282">
            <v>10434</v>
          </cell>
        </row>
        <row r="299">
          <cell r="K299">
            <v>2654</v>
          </cell>
        </row>
        <row r="320">
          <cell r="K320">
            <v>3538</v>
          </cell>
        </row>
        <row r="336">
          <cell r="K336">
            <v>3182</v>
          </cell>
        </row>
        <row r="345">
          <cell r="K345">
            <v>1138</v>
          </cell>
        </row>
        <row r="364">
          <cell r="K364">
            <v>1516</v>
          </cell>
        </row>
        <row r="373">
          <cell r="K373">
            <v>870</v>
          </cell>
        </row>
        <row r="378">
          <cell r="K378">
            <v>446</v>
          </cell>
        </row>
        <row r="398">
          <cell r="K398">
            <v>3500</v>
          </cell>
        </row>
        <row r="405">
          <cell r="K405">
            <v>774</v>
          </cell>
        </row>
        <row r="411">
          <cell r="K411">
            <v>586</v>
          </cell>
        </row>
        <row r="427">
          <cell r="K427">
            <v>1338</v>
          </cell>
        </row>
        <row r="432">
          <cell r="K432">
            <v>372</v>
          </cell>
        </row>
        <row r="436">
          <cell r="K436">
            <v>432</v>
          </cell>
        </row>
        <row r="442">
          <cell r="K442">
            <v>576</v>
          </cell>
        </row>
        <row r="447">
          <cell r="K447">
            <v>780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ERO"/>
      <sheetName val="ENERO"/>
      <sheetName val="FUDES FEBRERO"/>
      <sheetName val="base"/>
    </sheetNames>
    <sheetDataSet>
      <sheetData sheetId="0">
        <row r="4">
          <cell r="K4">
            <v>144</v>
          </cell>
        </row>
        <row r="9">
          <cell r="K9">
            <v>452</v>
          </cell>
        </row>
        <row r="16">
          <cell r="K16">
            <v>1192</v>
          </cell>
        </row>
        <row r="18">
          <cell r="K18">
            <v>164</v>
          </cell>
        </row>
        <row r="24">
          <cell r="K24">
            <v>338</v>
          </cell>
        </row>
        <row r="28">
          <cell r="K28">
            <v>200</v>
          </cell>
        </row>
        <row r="32">
          <cell r="K32">
            <v>254</v>
          </cell>
        </row>
        <row r="40">
          <cell r="K40">
            <v>1028</v>
          </cell>
        </row>
        <row r="47">
          <cell r="K47">
            <v>1094</v>
          </cell>
        </row>
        <row r="53">
          <cell r="K53">
            <v>576</v>
          </cell>
        </row>
        <row r="64">
          <cell r="K64">
            <v>1960</v>
          </cell>
        </row>
        <row r="72">
          <cell r="K72">
            <v>452</v>
          </cell>
        </row>
        <row r="78">
          <cell r="K78">
            <v>294</v>
          </cell>
        </row>
        <row r="88">
          <cell r="K88">
            <v>1084</v>
          </cell>
        </row>
        <row r="96">
          <cell r="K96">
            <v>1390</v>
          </cell>
        </row>
        <row r="105">
          <cell r="K105">
            <v>1034</v>
          </cell>
        </row>
        <row r="110">
          <cell r="K110">
            <v>452</v>
          </cell>
        </row>
        <row r="114">
          <cell r="K114">
            <v>288</v>
          </cell>
        </row>
        <row r="118">
          <cell r="K118">
            <v>408</v>
          </cell>
        </row>
        <row r="123">
          <cell r="K123">
            <v>482</v>
          </cell>
        </row>
        <row r="130">
          <cell r="K130">
            <v>602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I 20166"/>
      <sheetName val="2017 LICEN"/>
      <sheetName val="6_CMU"/>
      <sheetName val="7_CTI-FISI"/>
      <sheetName val="8_CI-TPTO"/>
      <sheetName val="9_CI-RIOJA"/>
      <sheetName val="10_CI-MOYO"/>
      <sheetName val="11-EPG.TPTO"/>
      <sheetName val="12_EPG-RIOJA"/>
      <sheetName val="13-BACH.RIOJA"/>
      <sheetName val="14_C.COMP-RIOJA"/>
      <sheetName val="15_2DA ESPEC.INICIAL.RIOJA"/>
      <sheetName val="16-CULTIVOS VEGE"/>
      <sheetName val="17-BIBLIOTECA"/>
      <sheetName val="18-F.LIMON ROCIO"/>
      <sheetName val="19-F. MIRAFLORES"/>
      <sheetName val="PISCINA"/>
      <sheetName val="LEM."/>
      <sheetName val="LBR suelos y aguas foliares"/>
      <sheetName val="BALANCE"/>
      <sheetName val="RESUMEN"/>
      <sheetName val="C.PU PICOTA"/>
      <sheetName val="FUNDOS UNIVERSITARIOS"/>
      <sheetName val="Hoja4"/>
      <sheetName val="Hoja2"/>
      <sheetName val="Hoja6"/>
      <sheetName val="Estado Economico CMU"/>
      <sheetName val="Hoja5"/>
    </sheetNames>
    <sheetDataSet>
      <sheetData sheetId="0" refreshError="1"/>
      <sheetData sheetId="1" refreshError="1"/>
      <sheetData sheetId="2" refreshError="1"/>
      <sheetData sheetId="3" refreshError="1">
        <row r="516">
          <cell r="N516">
            <v>89552.61999999985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topLeftCell="A693" zoomScale="80" zoomScaleNormal="80" workbookViewId="0">
      <selection activeCell="K757" sqref="K757"/>
    </sheetView>
  </sheetViews>
  <sheetFormatPr baseColWidth="10" defaultColWidth="11.42578125" defaultRowHeight="12.75" x14ac:dyDescent="0.2"/>
  <cols>
    <col min="1" max="1" width="12" style="176" customWidth="1"/>
    <col min="2" max="2" width="7.7109375" style="167" customWidth="1"/>
    <col min="3" max="3" width="7" style="177" customWidth="1"/>
    <col min="4" max="4" width="9.5703125" style="177" customWidth="1"/>
    <col min="5" max="5" width="4.5703125" style="177" hidden="1" customWidth="1"/>
    <col min="6" max="6" width="17" style="177" customWidth="1"/>
    <col min="7" max="7" width="23.85546875" style="178" customWidth="1"/>
    <col min="8" max="8" width="18.7109375" style="178" customWidth="1"/>
    <col min="9" max="9" width="16.140625" style="179" customWidth="1"/>
    <col min="10" max="11" width="16.140625" style="114" customWidth="1"/>
    <col min="12" max="12" width="14.140625" style="114" customWidth="1"/>
    <col min="13" max="13" width="15.5703125" style="179" customWidth="1"/>
    <col min="14" max="16384" width="11.42578125" style="114"/>
  </cols>
  <sheetData>
    <row r="1" spans="1:13" x14ac:dyDescent="0.2">
      <c r="A1" s="527" t="s">
        <v>95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9"/>
    </row>
    <row r="2" spans="1:13" x14ac:dyDescent="0.2">
      <c r="A2" s="530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2"/>
    </row>
    <row r="3" spans="1:13" ht="15" x14ac:dyDescent="0.25">
      <c r="A3" s="533" t="s">
        <v>0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5"/>
    </row>
    <row r="4" spans="1:13" x14ac:dyDescent="0.2">
      <c r="A4" s="115" t="s">
        <v>1</v>
      </c>
      <c r="B4" s="116" t="s">
        <v>2</v>
      </c>
      <c r="C4" s="117" t="s">
        <v>3</v>
      </c>
      <c r="D4" s="117" t="s">
        <v>4</v>
      </c>
      <c r="E4" s="117" t="s">
        <v>96</v>
      </c>
      <c r="F4" s="117" t="s">
        <v>5</v>
      </c>
      <c r="G4" s="118" t="s">
        <v>97</v>
      </c>
      <c r="H4" s="118" t="s">
        <v>6</v>
      </c>
      <c r="I4" s="117" t="s">
        <v>7</v>
      </c>
      <c r="J4" s="117" t="s">
        <v>8</v>
      </c>
      <c r="K4" s="117" t="s">
        <v>9</v>
      </c>
      <c r="L4" s="119" t="s">
        <v>10</v>
      </c>
      <c r="M4" s="117" t="s">
        <v>11</v>
      </c>
    </row>
    <row r="5" spans="1:13" x14ac:dyDescent="0.2">
      <c r="A5" s="120"/>
      <c r="B5" s="121"/>
      <c r="C5" s="122"/>
      <c r="D5" s="122"/>
      <c r="E5" s="122"/>
      <c r="F5" s="122"/>
      <c r="G5" s="101"/>
      <c r="H5" s="123"/>
      <c r="I5" s="124"/>
      <c r="J5" s="125"/>
      <c r="K5" s="125"/>
      <c r="L5" s="125"/>
      <c r="M5" s="124"/>
    </row>
    <row r="6" spans="1:13" x14ac:dyDescent="0.2">
      <c r="A6" s="10">
        <v>42738</v>
      </c>
      <c r="B6" s="11" t="s">
        <v>98</v>
      </c>
      <c r="C6" s="122"/>
      <c r="D6" s="122"/>
      <c r="E6" s="122"/>
      <c r="F6" s="122"/>
      <c r="G6" s="126" t="s">
        <v>99</v>
      </c>
      <c r="H6" s="123"/>
      <c r="I6" s="127">
        <v>328</v>
      </c>
      <c r="J6" s="128">
        <f>+I6*0.32</f>
        <v>104.96000000000001</v>
      </c>
      <c r="K6" s="128">
        <f>+I6*0.68</f>
        <v>223.04000000000002</v>
      </c>
      <c r="L6" s="128"/>
      <c r="M6" s="129">
        <f>+K6-L6+M5</f>
        <v>223.04000000000002</v>
      </c>
    </row>
    <row r="7" spans="1:13" x14ac:dyDescent="0.2">
      <c r="A7" s="10">
        <v>42739</v>
      </c>
      <c r="B7" s="11" t="s">
        <v>98</v>
      </c>
      <c r="C7" s="122"/>
      <c r="D7" s="122"/>
      <c r="E7" s="122"/>
      <c r="F7" s="122"/>
      <c r="G7" s="126" t="s">
        <v>99</v>
      </c>
      <c r="H7" s="123"/>
      <c r="I7" s="127">
        <v>1236</v>
      </c>
      <c r="J7" s="128">
        <f t="shared" ref="J7:J51" si="0">+I7*0.32</f>
        <v>395.52</v>
      </c>
      <c r="K7" s="128">
        <f t="shared" ref="K7:K51" si="1">+I7*0.68</f>
        <v>840.48</v>
      </c>
      <c r="L7" s="128"/>
      <c r="M7" s="129">
        <f>+K7-L7+M6</f>
        <v>1063.52</v>
      </c>
    </row>
    <row r="8" spans="1:13" x14ac:dyDescent="0.2">
      <c r="A8" s="10">
        <v>42740</v>
      </c>
      <c r="B8" s="11" t="s">
        <v>98</v>
      </c>
      <c r="C8" s="122"/>
      <c r="D8" s="122"/>
      <c r="E8" s="122"/>
      <c r="F8" s="122"/>
      <c r="G8" s="126" t="s">
        <v>99</v>
      </c>
      <c r="H8" s="123"/>
      <c r="I8" s="130">
        <v>2844</v>
      </c>
      <c r="J8" s="128">
        <f t="shared" si="0"/>
        <v>910.08</v>
      </c>
      <c r="K8" s="128">
        <f t="shared" si="1"/>
        <v>1933.92</v>
      </c>
      <c r="L8" s="128"/>
      <c r="M8" s="129">
        <f>+K8-L8+M7</f>
        <v>2997.44</v>
      </c>
    </row>
    <row r="9" spans="1:13" x14ac:dyDescent="0.2">
      <c r="A9" s="131"/>
      <c r="B9" s="132"/>
      <c r="C9" s="122"/>
      <c r="D9" s="122"/>
      <c r="E9" s="122"/>
      <c r="F9" s="122"/>
      <c r="G9" s="133"/>
      <c r="H9" s="123"/>
      <c r="I9" s="127"/>
      <c r="J9" s="128">
        <f t="shared" si="0"/>
        <v>0</v>
      </c>
      <c r="K9" s="128">
        <f t="shared" si="1"/>
        <v>0</v>
      </c>
      <c r="L9" s="128"/>
      <c r="M9" s="129">
        <f t="shared" ref="M9:M72" si="2">+K9-L9+M8</f>
        <v>2997.44</v>
      </c>
    </row>
    <row r="10" spans="1:13" ht="15" x14ac:dyDescent="0.25">
      <c r="A10" s="10">
        <v>43108</v>
      </c>
      <c r="B10" s="11" t="s">
        <v>100</v>
      </c>
      <c r="C10" s="134"/>
      <c r="D10" s="135"/>
      <c r="E10" s="122"/>
      <c r="F10" s="122"/>
      <c r="G10" s="126" t="s">
        <v>99</v>
      </c>
      <c r="H10" s="136"/>
      <c r="I10" s="135">
        <v>4522</v>
      </c>
      <c r="J10" s="128">
        <f t="shared" si="0"/>
        <v>1447.04</v>
      </c>
      <c r="K10" s="128">
        <f t="shared" si="1"/>
        <v>3074.96</v>
      </c>
      <c r="L10" s="128"/>
      <c r="M10" s="129">
        <f t="shared" si="2"/>
        <v>6072.4</v>
      </c>
    </row>
    <row r="11" spans="1:13" ht="15" x14ac:dyDescent="0.25">
      <c r="A11" s="10">
        <v>43109</v>
      </c>
      <c r="B11" s="11" t="s">
        <v>100</v>
      </c>
      <c r="C11" s="134"/>
      <c r="D11" s="135"/>
      <c r="E11" s="122"/>
      <c r="F11" s="122"/>
      <c r="G11" s="126" t="s">
        <v>99</v>
      </c>
      <c r="H11" s="136"/>
      <c r="I11" s="135">
        <v>2830</v>
      </c>
      <c r="J11" s="128">
        <f t="shared" si="0"/>
        <v>905.6</v>
      </c>
      <c r="K11" s="128">
        <f t="shared" si="1"/>
        <v>1924.4</v>
      </c>
      <c r="L11" s="128"/>
      <c r="M11" s="129">
        <f t="shared" si="2"/>
        <v>7996.7999999999993</v>
      </c>
    </row>
    <row r="12" spans="1:13" ht="15" x14ac:dyDescent="0.25">
      <c r="A12" s="10">
        <v>43110</v>
      </c>
      <c r="B12" s="11" t="s">
        <v>100</v>
      </c>
      <c r="C12" s="134"/>
      <c r="D12" s="135"/>
      <c r="E12" s="122"/>
      <c r="F12" s="122"/>
      <c r="G12" s="126" t="s">
        <v>99</v>
      </c>
      <c r="H12" s="136"/>
      <c r="I12" s="135">
        <v>984</v>
      </c>
      <c r="J12" s="128">
        <f t="shared" si="0"/>
        <v>314.88</v>
      </c>
      <c r="K12" s="128">
        <f t="shared" si="1"/>
        <v>669.12</v>
      </c>
      <c r="L12" s="128"/>
      <c r="M12" s="129">
        <f t="shared" si="2"/>
        <v>8665.92</v>
      </c>
    </row>
    <row r="13" spans="1:13" ht="15" x14ac:dyDescent="0.25">
      <c r="A13" s="10">
        <v>43111</v>
      </c>
      <c r="B13" s="11" t="s">
        <v>100</v>
      </c>
      <c r="C13" s="134"/>
      <c r="D13" s="135"/>
      <c r="E13" s="122"/>
      <c r="F13" s="122"/>
      <c r="G13" s="126" t="s">
        <v>99</v>
      </c>
      <c r="H13" s="136"/>
      <c r="I13" s="135">
        <v>2114</v>
      </c>
      <c r="J13" s="128">
        <f t="shared" si="0"/>
        <v>676.48</v>
      </c>
      <c r="K13" s="128">
        <f t="shared" si="1"/>
        <v>1437.5200000000002</v>
      </c>
      <c r="L13" s="128"/>
      <c r="M13" s="129">
        <f t="shared" si="2"/>
        <v>10103.44</v>
      </c>
    </row>
    <row r="14" spans="1:13" ht="15" x14ac:dyDescent="0.25">
      <c r="A14" s="10">
        <v>43112</v>
      </c>
      <c r="B14" s="11" t="s">
        <v>100</v>
      </c>
      <c r="C14" s="134"/>
      <c r="D14" s="135"/>
      <c r="E14" s="122"/>
      <c r="F14" s="122"/>
      <c r="G14" s="126" t="s">
        <v>99</v>
      </c>
      <c r="H14" s="136"/>
      <c r="I14" s="135">
        <v>3000</v>
      </c>
      <c r="J14" s="128">
        <f t="shared" si="0"/>
        <v>960</v>
      </c>
      <c r="K14" s="128">
        <f t="shared" si="1"/>
        <v>2040.0000000000002</v>
      </c>
      <c r="L14" s="128"/>
      <c r="M14" s="129">
        <f t="shared" si="2"/>
        <v>12143.44</v>
      </c>
    </row>
    <row r="15" spans="1:13" ht="15" x14ac:dyDescent="0.25">
      <c r="A15" s="10">
        <v>43113</v>
      </c>
      <c r="B15" s="11" t="s">
        <v>100</v>
      </c>
      <c r="C15" s="134"/>
      <c r="D15" s="135"/>
      <c r="E15" s="122"/>
      <c r="F15" s="122"/>
      <c r="G15" s="126" t="s">
        <v>99</v>
      </c>
      <c r="H15" s="136"/>
      <c r="I15" s="135">
        <v>164</v>
      </c>
      <c r="J15" s="128">
        <f t="shared" si="0"/>
        <v>52.480000000000004</v>
      </c>
      <c r="K15" s="128">
        <f t="shared" si="1"/>
        <v>111.52000000000001</v>
      </c>
      <c r="L15" s="128"/>
      <c r="M15" s="129">
        <f t="shared" si="2"/>
        <v>12254.960000000001</v>
      </c>
    </row>
    <row r="16" spans="1:13" ht="15" x14ac:dyDescent="0.25">
      <c r="A16" s="10">
        <v>43115</v>
      </c>
      <c r="B16" s="11" t="s">
        <v>100</v>
      </c>
      <c r="C16" s="134"/>
      <c r="D16" s="135"/>
      <c r="E16" s="122"/>
      <c r="F16" s="122"/>
      <c r="G16" s="126" t="s">
        <v>99</v>
      </c>
      <c r="H16" s="136"/>
      <c r="I16" s="135">
        <v>2044</v>
      </c>
      <c r="J16" s="128">
        <f t="shared" si="0"/>
        <v>654.08000000000004</v>
      </c>
      <c r="K16" s="128">
        <f t="shared" si="1"/>
        <v>1389.92</v>
      </c>
      <c r="L16" s="128"/>
      <c r="M16" s="129">
        <f t="shared" si="2"/>
        <v>13644.880000000001</v>
      </c>
    </row>
    <row r="17" spans="1:13" ht="15" x14ac:dyDescent="0.25">
      <c r="A17" s="10">
        <v>43116</v>
      </c>
      <c r="B17" s="11" t="s">
        <v>100</v>
      </c>
      <c r="C17" s="134"/>
      <c r="D17" s="135"/>
      <c r="E17" s="122"/>
      <c r="F17" s="122"/>
      <c r="G17" s="126" t="s">
        <v>99</v>
      </c>
      <c r="H17" s="136"/>
      <c r="I17" s="135">
        <v>692</v>
      </c>
      <c r="J17" s="128">
        <f t="shared" si="0"/>
        <v>221.44</v>
      </c>
      <c r="K17" s="128">
        <f t="shared" si="1"/>
        <v>470.56000000000006</v>
      </c>
      <c r="L17" s="128"/>
      <c r="M17" s="129">
        <f t="shared" si="2"/>
        <v>14115.44</v>
      </c>
    </row>
    <row r="18" spans="1:13" ht="15" x14ac:dyDescent="0.25">
      <c r="A18" s="10">
        <v>43117</v>
      </c>
      <c r="B18" s="11" t="s">
        <v>100</v>
      </c>
      <c r="C18" s="134"/>
      <c r="D18" s="135"/>
      <c r="E18" s="122"/>
      <c r="F18" s="122"/>
      <c r="G18" s="126" t="s">
        <v>99</v>
      </c>
      <c r="H18" s="136"/>
      <c r="I18" s="135">
        <v>2222</v>
      </c>
      <c r="J18" s="128">
        <f t="shared" si="0"/>
        <v>711.04</v>
      </c>
      <c r="K18" s="128">
        <f t="shared" si="1"/>
        <v>1510.96</v>
      </c>
      <c r="L18" s="128"/>
      <c r="M18" s="129">
        <f t="shared" si="2"/>
        <v>15626.400000000001</v>
      </c>
    </row>
    <row r="19" spans="1:13" ht="15" x14ac:dyDescent="0.25">
      <c r="A19" s="10">
        <v>43118</v>
      </c>
      <c r="B19" s="11" t="s">
        <v>100</v>
      </c>
      <c r="C19" s="134"/>
      <c r="D19" s="135"/>
      <c r="E19" s="122"/>
      <c r="F19" s="122"/>
      <c r="G19" s="126" t="s">
        <v>99</v>
      </c>
      <c r="H19" s="136"/>
      <c r="I19" s="135">
        <v>616</v>
      </c>
      <c r="J19" s="128">
        <f t="shared" si="0"/>
        <v>197.12</v>
      </c>
      <c r="K19" s="128">
        <f t="shared" si="1"/>
        <v>418.88000000000005</v>
      </c>
      <c r="L19" s="128"/>
      <c r="M19" s="129">
        <f t="shared" si="2"/>
        <v>16045.28</v>
      </c>
    </row>
    <row r="20" spans="1:13" x14ac:dyDescent="0.2">
      <c r="A20" s="131"/>
      <c r="B20" s="132"/>
      <c r="C20" s="122"/>
      <c r="D20" s="122"/>
      <c r="E20" s="122"/>
      <c r="F20" s="122"/>
      <c r="G20" s="133"/>
      <c r="H20" s="123"/>
      <c r="I20" s="127"/>
      <c r="J20" s="128">
        <f t="shared" si="0"/>
        <v>0</v>
      </c>
      <c r="K20" s="128">
        <f t="shared" si="1"/>
        <v>0</v>
      </c>
      <c r="L20" s="128"/>
      <c r="M20" s="129">
        <f t="shared" si="2"/>
        <v>16045.28</v>
      </c>
    </row>
    <row r="21" spans="1:13" x14ac:dyDescent="0.2">
      <c r="A21" s="10">
        <v>43119</v>
      </c>
      <c r="B21" s="11">
        <v>360</v>
      </c>
      <c r="C21" s="122"/>
      <c r="D21" s="122"/>
      <c r="E21" s="122"/>
      <c r="F21" s="122"/>
      <c r="G21" s="126" t="s">
        <v>101</v>
      </c>
      <c r="H21" s="123"/>
      <c r="I21" s="135">
        <v>800</v>
      </c>
      <c r="J21" s="128">
        <f t="shared" si="0"/>
        <v>256</v>
      </c>
      <c r="K21" s="128">
        <f t="shared" si="1"/>
        <v>544</v>
      </c>
      <c r="L21" s="128"/>
      <c r="M21" s="129">
        <f t="shared" si="2"/>
        <v>16589.28</v>
      </c>
    </row>
    <row r="22" spans="1:13" x14ac:dyDescent="0.2">
      <c r="A22" s="10">
        <v>43120</v>
      </c>
      <c r="B22" s="11">
        <v>360</v>
      </c>
      <c r="C22" s="122"/>
      <c r="D22" s="122"/>
      <c r="E22" s="122"/>
      <c r="F22" s="122"/>
      <c r="G22" s="126" t="s">
        <v>101</v>
      </c>
      <c r="H22" s="123"/>
      <c r="I22" s="135">
        <v>164</v>
      </c>
      <c r="J22" s="128">
        <f t="shared" si="0"/>
        <v>52.480000000000004</v>
      </c>
      <c r="K22" s="128">
        <f t="shared" si="1"/>
        <v>111.52000000000001</v>
      </c>
      <c r="L22" s="128"/>
      <c r="M22" s="129">
        <f t="shared" si="2"/>
        <v>16700.8</v>
      </c>
    </row>
    <row r="23" spans="1:13" x14ac:dyDescent="0.2">
      <c r="A23" s="10">
        <v>43122</v>
      </c>
      <c r="B23" s="11">
        <v>360</v>
      </c>
      <c r="C23" s="122"/>
      <c r="D23" s="122"/>
      <c r="E23" s="122"/>
      <c r="F23" s="122"/>
      <c r="G23" s="126" t="s">
        <v>101</v>
      </c>
      <c r="H23" s="123"/>
      <c r="I23" s="135">
        <v>472</v>
      </c>
      <c r="J23" s="128">
        <f t="shared" si="0"/>
        <v>151.04</v>
      </c>
      <c r="K23" s="128">
        <f t="shared" si="1"/>
        <v>320.96000000000004</v>
      </c>
      <c r="L23" s="128"/>
      <c r="M23" s="129">
        <f t="shared" si="2"/>
        <v>17021.759999999998</v>
      </c>
    </row>
    <row r="24" spans="1:13" x14ac:dyDescent="0.2">
      <c r="A24" s="10">
        <v>43123</v>
      </c>
      <c r="B24" s="11">
        <v>360</v>
      </c>
      <c r="C24" s="122"/>
      <c r="D24" s="122"/>
      <c r="E24" s="122"/>
      <c r="F24" s="122"/>
      <c r="G24" s="126" t="s">
        <v>101</v>
      </c>
      <c r="H24" s="123"/>
      <c r="I24" s="135">
        <v>492</v>
      </c>
      <c r="J24" s="128">
        <f t="shared" si="0"/>
        <v>157.44</v>
      </c>
      <c r="K24" s="128">
        <f t="shared" si="1"/>
        <v>334.56</v>
      </c>
      <c r="L24" s="128"/>
      <c r="M24" s="129">
        <f t="shared" si="2"/>
        <v>17356.32</v>
      </c>
    </row>
    <row r="25" spans="1:13" x14ac:dyDescent="0.2">
      <c r="A25" s="10">
        <v>43125</v>
      </c>
      <c r="B25" s="11">
        <v>360</v>
      </c>
      <c r="C25" s="122"/>
      <c r="D25" s="122"/>
      <c r="E25" s="122"/>
      <c r="F25" s="122"/>
      <c r="G25" s="126" t="s">
        <v>101</v>
      </c>
      <c r="H25" s="123"/>
      <c r="I25" s="135">
        <v>492</v>
      </c>
      <c r="J25" s="128">
        <f t="shared" si="0"/>
        <v>157.44</v>
      </c>
      <c r="K25" s="128">
        <f t="shared" si="1"/>
        <v>334.56</v>
      </c>
      <c r="L25" s="128"/>
      <c r="M25" s="129">
        <f t="shared" si="2"/>
        <v>17690.88</v>
      </c>
    </row>
    <row r="26" spans="1:13" x14ac:dyDescent="0.2">
      <c r="A26" s="10">
        <v>43126</v>
      </c>
      <c r="B26" s="11">
        <v>360</v>
      </c>
      <c r="C26" s="122"/>
      <c r="D26" s="122"/>
      <c r="E26" s="122"/>
      <c r="F26" s="122"/>
      <c r="G26" s="126" t="s">
        <v>101</v>
      </c>
      <c r="H26" s="123"/>
      <c r="I26" s="135">
        <v>866</v>
      </c>
      <c r="J26" s="128">
        <f t="shared" si="0"/>
        <v>277.12</v>
      </c>
      <c r="K26" s="128">
        <f t="shared" si="1"/>
        <v>588.88</v>
      </c>
      <c r="L26" s="128"/>
      <c r="M26" s="129">
        <f t="shared" si="2"/>
        <v>18279.760000000002</v>
      </c>
    </row>
    <row r="27" spans="1:13" x14ac:dyDescent="0.2">
      <c r="A27" s="10">
        <v>43129</v>
      </c>
      <c r="B27" s="11">
        <v>360</v>
      </c>
      <c r="C27" s="122"/>
      <c r="D27" s="122"/>
      <c r="E27" s="122"/>
      <c r="F27" s="122"/>
      <c r="G27" s="126" t="s">
        <v>101</v>
      </c>
      <c r="H27" s="123"/>
      <c r="I27" s="135">
        <v>164</v>
      </c>
      <c r="J27" s="128">
        <f t="shared" si="0"/>
        <v>52.480000000000004</v>
      </c>
      <c r="K27" s="128">
        <f t="shared" si="1"/>
        <v>111.52000000000001</v>
      </c>
      <c r="L27" s="128"/>
      <c r="M27" s="129">
        <f t="shared" si="2"/>
        <v>18391.280000000002</v>
      </c>
    </row>
    <row r="28" spans="1:13" x14ac:dyDescent="0.2">
      <c r="A28" s="10">
        <v>43131</v>
      </c>
      <c r="B28" s="11">
        <v>360</v>
      </c>
      <c r="C28" s="122"/>
      <c r="D28" s="122"/>
      <c r="E28" s="122"/>
      <c r="F28" s="122"/>
      <c r="G28" s="126" t="s">
        <v>101</v>
      </c>
      <c r="H28" s="123"/>
      <c r="I28" s="135">
        <v>40</v>
      </c>
      <c r="J28" s="128">
        <f t="shared" si="0"/>
        <v>12.8</v>
      </c>
      <c r="K28" s="128">
        <f t="shared" si="1"/>
        <v>27.200000000000003</v>
      </c>
      <c r="L28" s="128"/>
      <c r="M28" s="129">
        <f t="shared" si="2"/>
        <v>18418.480000000003</v>
      </c>
    </row>
    <row r="29" spans="1:13" ht="14.25" x14ac:dyDescent="0.2">
      <c r="A29" s="10">
        <v>43470</v>
      </c>
      <c r="B29" s="137"/>
      <c r="C29" s="122"/>
      <c r="D29" s="122"/>
      <c r="E29" s="122"/>
      <c r="F29" s="122"/>
      <c r="G29" s="126"/>
      <c r="H29" s="123"/>
      <c r="I29" s="135">
        <v>1980</v>
      </c>
      <c r="J29" s="128">
        <f t="shared" si="0"/>
        <v>633.6</v>
      </c>
      <c r="K29" s="128">
        <f t="shared" si="1"/>
        <v>1346.4</v>
      </c>
      <c r="L29" s="128"/>
      <c r="M29" s="129">
        <f t="shared" si="2"/>
        <v>19764.880000000005</v>
      </c>
    </row>
    <row r="30" spans="1:13" x14ac:dyDescent="0.2">
      <c r="A30" s="10">
        <v>43471</v>
      </c>
      <c r="B30" s="11"/>
      <c r="C30" s="122"/>
      <c r="D30" s="122"/>
      <c r="E30" s="122"/>
      <c r="F30" s="122"/>
      <c r="G30" s="126"/>
      <c r="H30" s="123"/>
      <c r="I30" s="135">
        <v>1212</v>
      </c>
      <c r="J30" s="128">
        <f t="shared" si="0"/>
        <v>387.84000000000003</v>
      </c>
      <c r="K30" s="128">
        <f t="shared" si="1"/>
        <v>824.16000000000008</v>
      </c>
      <c r="L30" s="128"/>
      <c r="M30" s="129">
        <f t="shared" si="2"/>
        <v>20589.040000000005</v>
      </c>
    </row>
    <row r="31" spans="1:13" x14ac:dyDescent="0.2">
      <c r="A31" s="10">
        <v>43468</v>
      </c>
      <c r="B31" s="11"/>
      <c r="C31" s="122"/>
      <c r="D31" s="122"/>
      <c r="E31" s="122"/>
      <c r="F31" s="122"/>
      <c r="G31" s="126"/>
      <c r="H31" s="123"/>
      <c r="I31" s="135">
        <v>1364</v>
      </c>
      <c r="J31" s="128">
        <f t="shared" si="0"/>
        <v>436.48</v>
      </c>
      <c r="K31" s="128">
        <f t="shared" si="1"/>
        <v>927.5200000000001</v>
      </c>
      <c r="L31" s="128"/>
      <c r="M31" s="129">
        <f t="shared" si="2"/>
        <v>21516.560000000005</v>
      </c>
    </row>
    <row r="32" spans="1:13" x14ac:dyDescent="0.2">
      <c r="A32" s="10">
        <v>43469</v>
      </c>
      <c r="B32" s="11"/>
      <c r="C32" s="122"/>
      <c r="D32" s="122"/>
      <c r="E32" s="122"/>
      <c r="F32" s="122"/>
      <c r="G32" s="126"/>
      <c r="H32" s="123"/>
      <c r="I32" s="135">
        <v>1280</v>
      </c>
      <c r="J32" s="128">
        <f t="shared" si="0"/>
        <v>409.6</v>
      </c>
      <c r="K32" s="128">
        <f t="shared" si="1"/>
        <v>870.40000000000009</v>
      </c>
      <c r="L32" s="128"/>
      <c r="M32" s="129">
        <f t="shared" si="2"/>
        <v>22386.960000000006</v>
      </c>
    </row>
    <row r="33" spans="1:13" x14ac:dyDescent="0.2">
      <c r="A33" s="131">
        <v>43108</v>
      </c>
      <c r="B33" s="132"/>
      <c r="C33" s="122"/>
      <c r="D33" s="122"/>
      <c r="E33" s="122"/>
      <c r="F33" s="122"/>
      <c r="G33" s="126"/>
      <c r="H33" s="123"/>
      <c r="I33" s="127">
        <v>3440</v>
      </c>
      <c r="J33" s="128">
        <f t="shared" si="0"/>
        <v>1100.8</v>
      </c>
      <c r="K33" s="128">
        <f t="shared" si="1"/>
        <v>2339.2000000000003</v>
      </c>
      <c r="L33" s="128"/>
      <c r="M33" s="129">
        <f t="shared" si="2"/>
        <v>24726.160000000007</v>
      </c>
    </row>
    <row r="34" spans="1:13" x14ac:dyDescent="0.2">
      <c r="A34" s="131">
        <v>43109</v>
      </c>
      <c r="B34" s="132"/>
      <c r="C34" s="122"/>
      <c r="D34" s="122"/>
      <c r="E34" s="122"/>
      <c r="F34" s="122"/>
      <c r="G34" s="126"/>
      <c r="H34" s="123"/>
      <c r="I34" s="127">
        <v>1292</v>
      </c>
      <c r="J34" s="128">
        <f t="shared" si="0"/>
        <v>413.44</v>
      </c>
      <c r="K34" s="128">
        <f t="shared" si="1"/>
        <v>878.56000000000006</v>
      </c>
      <c r="L34" s="128"/>
      <c r="M34" s="129">
        <f t="shared" si="2"/>
        <v>25604.720000000008</v>
      </c>
    </row>
    <row r="35" spans="1:13" x14ac:dyDescent="0.2">
      <c r="A35" s="131">
        <v>43110</v>
      </c>
      <c r="B35" s="132"/>
      <c r="C35" s="122"/>
      <c r="D35" s="122"/>
      <c r="E35" s="122"/>
      <c r="F35" s="122"/>
      <c r="G35" s="126"/>
      <c r="H35" s="123"/>
      <c r="I35" s="127">
        <v>616</v>
      </c>
      <c r="J35" s="128">
        <f t="shared" si="0"/>
        <v>197.12</v>
      </c>
      <c r="K35" s="128">
        <f t="shared" si="1"/>
        <v>418.88000000000005</v>
      </c>
      <c r="L35" s="128"/>
      <c r="M35" s="129">
        <f t="shared" si="2"/>
        <v>26023.600000000009</v>
      </c>
    </row>
    <row r="36" spans="1:13" x14ac:dyDescent="0.2">
      <c r="A36" s="131">
        <v>43111</v>
      </c>
      <c r="B36" s="132"/>
      <c r="C36" s="122"/>
      <c r="D36" s="122"/>
      <c r="E36" s="122"/>
      <c r="F36" s="122"/>
      <c r="G36" s="126"/>
      <c r="H36" s="123"/>
      <c r="I36" s="127">
        <v>760</v>
      </c>
      <c r="J36" s="128">
        <f t="shared" si="0"/>
        <v>243.20000000000002</v>
      </c>
      <c r="K36" s="128">
        <f t="shared" si="1"/>
        <v>516.80000000000007</v>
      </c>
      <c r="L36" s="128"/>
      <c r="M36" s="129">
        <f t="shared" si="2"/>
        <v>26540.400000000009</v>
      </c>
    </row>
    <row r="37" spans="1:13" x14ac:dyDescent="0.2">
      <c r="A37" s="131">
        <v>43112</v>
      </c>
      <c r="B37" s="132"/>
      <c r="C37" s="122"/>
      <c r="D37" s="122"/>
      <c r="E37" s="122"/>
      <c r="F37" s="122"/>
      <c r="G37" s="126"/>
      <c r="H37" s="123"/>
      <c r="I37" s="127">
        <v>1953</v>
      </c>
      <c r="J37" s="128">
        <f t="shared" si="0"/>
        <v>624.96</v>
      </c>
      <c r="K37" s="128">
        <f t="shared" si="1"/>
        <v>1328.0400000000002</v>
      </c>
      <c r="L37" s="128"/>
      <c r="M37" s="129">
        <f t="shared" si="2"/>
        <v>27868.44000000001</v>
      </c>
    </row>
    <row r="38" spans="1:13" x14ac:dyDescent="0.2">
      <c r="A38" s="131"/>
      <c r="B38" s="132"/>
      <c r="C38" s="122"/>
      <c r="D38" s="122"/>
      <c r="E38" s="122"/>
      <c r="F38" s="122"/>
      <c r="G38" s="126"/>
      <c r="H38" s="123"/>
      <c r="I38" s="127"/>
      <c r="J38" s="128">
        <f t="shared" si="0"/>
        <v>0</v>
      </c>
      <c r="K38" s="128">
        <f t="shared" si="1"/>
        <v>0</v>
      </c>
      <c r="L38" s="128"/>
      <c r="M38" s="129">
        <f t="shared" si="2"/>
        <v>27868.44000000001</v>
      </c>
    </row>
    <row r="39" spans="1:13" x14ac:dyDescent="0.2">
      <c r="A39" s="131">
        <v>43115</v>
      </c>
      <c r="B39" s="132"/>
      <c r="C39" s="122"/>
      <c r="D39" s="122"/>
      <c r="E39" s="122"/>
      <c r="F39" s="122"/>
      <c r="G39" s="126"/>
      <c r="H39" s="123"/>
      <c r="I39" s="127">
        <v>144</v>
      </c>
      <c r="J39" s="128">
        <f t="shared" si="0"/>
        <v>46.08</v>
      </c>
      <c r="K39" s="128">
        <f t="shared" si="1"/>
        <v>97.92</v>
      </c>
      <c r="L39" s="128"/>
      <c r="M39" s="129">
        <f t="shared" si="2"/>
        <v>27966.360000000008</v>
      </c>
    </row>
    <row r="40" spans="1:13" x14ac:dyDescent="0.2">
      <c r="A40" s="131">
        <v>43116</v>
      </c>
      <c r="B40" s="132"/>
      <c r="C40" s="122"/>
      <c r="D40" s="122"/>
      <c r="E40" s="122"/>
      <c r="F40" s="122"/>
      <c r="G40" s="126"/>
      <c r="H40" s="123"/>
      <c r="I40" s="127">
        <v>924</v>
      </c>
      <c r="J40" s="128">
        <f t="shared" si="0"/>
        <v>295.68</v>
      </c>
      <c r="K40" s="128">
        <f t="shared" si="1"/>
        <v>628.32000000000005</v>
      </c>
      <c r="L40" s="128"/>
      <c r="M40" s="129">
        <f t="shared" si="2"/>
        <v>28594.680000000008</v>
      </c>
    </row>
    <row r="41" spans="1:13" x14ac:dyDescent="0.2">
      <c r="A41" s="131">
        <v>43117</v>
      </c>
      <c r="B41" s="132"/>
      <c r="C41" s="122"/>
      <c r="D41" s="122"/>
      <c r="E41" s="122"/>
      <c r="F41" s="122"/>
      <c r="G41" s="126"/>
      <c r="H41" s="123"/>
      <c r="I41" s="127">
        <v>1104</v>
      </c>
      <c r="J41" s="128">
        <f t="shared" si="0"/>
        <v>353.28000000000003</v>
      </c>
      <c r="K41" s="128">
        <f t="shared" si="1"/>
        <v>750.72</v>
      </c>
      <c r="L41" s="128"/>
      <c r="M41" s="129">
        <f t="shared" si="2"/>
        <v>29345.400000000009</v>
      </c>
    </row>
    <row r="42" spans="1:13" x14ac:dyDescent="0.2">
      <c r="A42" s="131">
        <v>43118</v>
      </c>
      <c r="B42" s="132"/>
      <c r="C42" s="122"/>
      <c r="D42" s="122"/>
      <c r="E42" s="122"/>
      <c r="F42" s="122"/>
      <c r="G42" s="126"/>
      <c r="H42" s="123"/>
      <c r="I42" s="127">
        <v>1720</v>
      </c>
      <c r="J42" s="128">
        <f t="shared" si="0"/>
        <v>550.4</v>
      </c>
      <c r="K42" s="128">
        <f t="shared" si="1"/>
        <v>1169.6000000000001</v>
      </c>
      <c r="L42" s="128"/>
      <c r="M42" s="129">
        <f t="shared" si="2"/>
        <v>30515.000000000007</v>
      </c>
    </row>
    <row r="43" spans="1:13" x14ac:dyDescent="0.2">
      <c r="A43" s="131">
        <v>43484</v>
      </c>
      <c r="B43" s="132"/>
      <c r="C43" s="122"/>
      <c r="D43" s="122"/>
      <c r="E43" s="122"/>
      <c r="F43" s="122"/>
      <c r="G43" s="138"/>
      <c r="H43" s="123"/>
      <c r="I43" s="127">
        <v>542</v>
      </c>
      <c r="J43" s="128">
        <f t="shared" si="0"/>
        <v>173.44</v>
      </c>
      <c r="K43" s="128">
        <f t="shared" si="1"/>
        <v>368.56</v>
      </c>
      <c r="L43" s="128"/>
      <c r="M43" s="129">
        <f t="shared" si="2"/>
        <v>30883.560000000009</v>
      </c>
    </row>
    <row r="44" spans="1:13" x14ac:dyDescent="0.2">
      <c r="A44" s="131">
        <v>43122</v>
      </c>
      <c r="B44" s="132"/>
      <c r="C44" s="122"/>
      <c r="D44" s="122"/>
      <c r="E44" s="122"/>
      <c r="F44" s="122"/>
      <c r="G44" s="126"/>
      <c r="H44" s="123"/>
      <c r="I44" s="127">
        <v>636</v>
      </c>
      <c r="J44" s="128">
        <f t="shared" si="0"/>
        <v>203.52</v>
      </c>
      <c r="K44" s="128">
        <f t="shared" si="1"/>
        <v>432.48</v>
      </c>
      <c r="L44" s="128"/>
      <c r="M44" s="129">
        <f t="shared" si="2"/>
        <v>31316.040000000008</v>
      </c>
    </row>
    <row r="45" spans="1:13" x14ac:dyDescent="0.2">
      <c r="A45" s="131">
        <v>43123</v>
      </c>
      <c r="B45" s="132"/>
      <c r="C45" s="122"/>
      <c r="D45" s="122"/>
      <c r="E45" s="122"/>
      <c r="F45" s="122"/>
      <c r="G45" s="126"/>
      <c r="H45" s="123"/>
      <c r="I45" s="127">
        <v>314</v>
      </c>
      <c r="J45" s="128">
        <f t="shared" si="0"/>
        <v>100.48</v>
      </c>
      <c r="K45" s="128">
        <f t="shared" si="1"/>
        <v>213.52</v>
      </c>
      <c r="L45" s="128"/>
      <c r="M45" s="129">
        <f t="shared" si="2"/>
        <v>31529.560000000009</v>
      </c>
    </row>
    <row r="46" spans="1:13" x14ac:dyDescent="0.2">
      <c r="A46" s="131">
        <v>43124</v>
      </c>
      <c r="B46" s="132"/>
      <c r="C46" s="122"/>
      <c r="D46" s="122"/>
      <c r="E46" s="122"/>
      <c r="F46" s="122"/>
      <c r="G46" s="126"/>
      <c r="H46" s="123"/>
      <c r="I46" s="127">
        <v>492</v>
      </c>
      <c r="J46" s="128">
        <f t="shared" si="0"/>
        <v>157.44</v>
      </c>
      <c r="K46" s="128">
        <f t="shared" si="1"/>
        <v>334.56</v>
      </c>
      <c r="L46" s="128"/>
      <c r="M46" s="129">
        <f t="shared" si="2"/>
        <v>31864.12000000001</v>
      </c>
    </row>
    <row r="47" spans="1:13" x14ac:dyDescent="0.2">
      <c r="A47" s="131">
        <v>43125</v>
      </c>
      <c r="B47" s="132"/>
      <c r="C47" s="122"/>
      <c r="D47" s="122"/>
      <c r="E47" s="122"/>
      <c r="F47" s="122"/>
      <c r="G47" s="126"/>
      <c r="H47" s="123"/>
      <c r="I47" s="127">
        <v>492</v>
      </c>
      <c r="J47" s="128">
        <f t="shared" si="0"/>
        <v>157.44</v>
      </c>
      <c r="K47" s="128">
        <f t="shared" si="1"/>
        <v>334.56</v>
      </c>
      <c r="L47" s="128"/>
      <c r="M47" s="129">
        <f t="shared" si="2"/>
        <v>32198.680000000011</v>
      </c>
    </row>
    <row r="48" spans="1:13" x14ac:dyDescent="0.2">
      <c r="A48" s="131">
        <v>43126</v>
      </c>
      <c r="B48" s="132"/>
      <c r="C48" s="122"/>
      <c r="D48" s="122"/>
      <c r="E48" s="122"/>
      <c r="F48" s="122"/>
      <c r="G48" s="126"/>
      <c r="H48" s="123"/>
      <c r="I48" s="127">
        <v>150</v>
      </c>
      <c r="J48" s="128">
        <f t="shared" si="0"/>
        <v>48</v>
      </c>
      <c r="K48" s="128">
        <f t="shared" si="1"/>
        <v>102.00000000000001</v>
      </c>
      <c r="L48" s="128"/>
      <c r="M48" s="129">
        <f t="shared" si="2"/>
        <v>32300.680000000011</v>
      </c>
    </row>
    <row r="49" spans="1:13" x14ac:dyDescent="0.2">
      <c r="A49" s="131">
        <v>43129</v>
      </c>
      <c r="B49" s="132"/>
      <c r="C49" s="122"/>
      <c r="D49" s="122"/>
      <c r="E49" s="122"/>
      <c r="F49" s="122"/>
      <c r="G49" s="126"/>
      <c r="H49" s="123"/>
      <c r="I49" s="127">
        <v>264</v>
      </c>
      <c r="J49" s="128">
        <f t="shared" si="0"/>
        <v>84.48</v>
      </c>
      <c r="K49" s="128">
        <f t="shared" si="1"/>
        <v>179.52</v>
      </c>
      <c r="L49" s="128"/>
      <c r="M49" s="129">
        <f t="shared" si="2"/>
        <v>32480.200000000012</v>
      </c>
    </row>
    <row r="50" spans="1:13" x14ac:dyDescent="0.2">
      <c r="A50" s="131">
        <v>43130</v>
      </c>
      <c r="B50" s="132"/>
      <c r="C50" s="122"/>
      <c r="D50" s="122"/>
      <c r="E50" s="122"/>
      <c r="F50" s="122"/>
      <c r="G50" s="126"/>
      <c r="H50" s="123"/>
      <c r="I50" s="127">
        <v>1446</v>
      </c>
      <c r="J50" s="128">
        <f t="shared" si="0"/>
        <v>462.72</v>
      </c>
      <c r="K50" s="128">
        <f t="shared" si="1"/>
        <v>983.28000000000009</v>
      </c>
      <c r="L50" s="128"/>
      <c r="M50" s="129">
        <f t="shared" si="2"/>
        <v>33463.48000000001</v>
      </c>
    </row>
    <row r="51" spans="1:13" x14ac:dyDescent="0.2">
      <c r="A51" s="131">
        <v>43131</v>
      </c>
      <c r="B51" s="132"/>
      <c r="C51" s="122"/>
      <c r="D51" s="122"/>
      <c r="E51" s="122"/>
      <c r="F51" s="122"/>
      <c r="G51" s="126"/>
      <c r="H51" s="123"/>
      <c r="I51" s="127">
        <v>984</v>
      </c>
      <c r="J51" s="128">
        <f t="shared" si="0"/>
        <v>314.88</v>
      </c>
      <c r="K51" s="128">
        <f t="shared" si="1"/>
        <v>669.12</v>
      </c>
      <c r="L51" s="128"/>
      <c r="M51" s="129">
        <f t="shared" si="2"/>
        <v>34132.600000000013</v>
      </c>
    </row>
    <row r="52" spans="1:13" x14ac:dyDescent="0.2">
      <c r="A52" s="131"/>
      <c r="B52" s="132"/>
      <c r="C52" s="122"/>
      <c r="D52" s="122"/>
      <c r="E52" s="122"/>
      <c r="F52" s="122"/>
      <c r="G52" s="126"/>
      <c r="H52" s="123"/>
      <c r="I52" s="127"/>
      <c r="J52" s="128"/>
      <c r="K52" s="128"/>
      <c r="L52" s="128"/>
      <c r="M52" s="129">
        <f t="shared" si="2"/>
        <v>34132.600000000013</v>
      </c>
    </row>
    <row r="53" spans="1:13" x14ac:dyDescent="0.2">
      <c r="A53" s="131"/>
      <c r="B53" s="132"/>
      <c r="C53" s="122"/>
      <c r="D53" s="122"/>
      <c r="E53" s="122"/>
      <c r="F53" s="122"/>
      <c r="G53" s="126"/>
      <c r="H53" s="123"/>
      <c r="I53" s="127"/>
      <c r="J53" s="128"/>
      <c r="K53" s="128"/>
      <c r="L53" s="128"/>
      <c r="M53" s="129">
        <f t="shared" si="2"/>
        <v>34132.600000000013</v>
      </c>
    </row>
    <row r="54" spans="1:13" x14ac:dyDescent="0.2">
      <c r="A54" s="131"/>
      <c r="B54" s="132"/>
      <c r="C54" s="122"/>
      <c r="D54" s="122"/>
      <c r="E54" s="122"/>
      <c r="F54" s="122"/>
      <c r="G54" s="126"/>
      <c r="H54" s="123"/>
      <c r="I54" s="127"/>
      <c r="J54" s="128"/>
      <c r="K54" s="128"/>
      <c r="L54" s="128"/>
      <c r="M54" s="129">
        <f t="shared" si="2"/>
        <v>34132.600000000013</v>
      </c>
    </row>
    <row r="55" spans="1:13" x14ac:dyDescent="0.2">
      <c r="A55" s="131"/>
      <c r="B55" s="132"/>
      <c r="C55" s="122"/>
      <c r="D55" s="122"/>
      <c r="E55" s="122"/>
      <c r="F55" s="122"/>
      <c r="G55" s="126"/>
      <c r="H55" s="123"/>
      <c r="I55" s="127"/>
      <c r="J55" s="128"/>
      <c r="K55" s="128"/>
      <c r="L55" s="128"/>
      <c r="M55" s="129">
        <f t="shared" si="2"/>
        <v>34132.600000000013</v>
      </c>
    </row>
    <row r="56" spans="1:13" x14ac:dyDescent="0.2">
      <c r="A56" s="131"/>
      <c r="B56" s="132"/>
      <c r="C56" s="122"/>
      <c r="D56" s="122"/>
      <c r="E56" s="122"/>
      <c r="F56" s="122"/>
      <c r="G56" s="126"/>
      <c r="H56" s="123"/>
      <c r="I56" s="127"/>
      <c r="J56" s="128"/>
      <c r="K56" s="128"/>
      <c r="L56" s="128"/>
      <c r="M56" s="129">
        <f t="shared" si="2"/>
        <v>34132.600000000013</v>
      </c>
    </row>
    <row r="57" spans="1:13" x14ac:dyDescent="0.2">
      <c r="A57" s="131"/>
      <c r="B57" s="132"/>
      <c r="C57" s="122"/>
      <c r="D57" s="122"/>
      <c r="E57" s="122"/>
      <c r="F57" s="122"/>
      <c r="G57" s="126"/>
      <c r="H57" s="123"/>
      <c r="I57" s="127"/>
      <c r="J57" s="128"/>
      <c r="K57" s="128"/>
      <c r="L57" s="128"/>
      <c r="M57" s="129">
        <f t="shared" si="2"/>
        <v>34132.600000000013</v>
      </c>
    </row>
    <row r="58" spans="1:13" x14ac:dyDescent="0.2">
      <c r="A58" s="131"/>
      <c r="B58" s="132"/>
      <c r="C58" s="122"/>
      <c r="D58" s="122"/>
      <c r="E58" s="122"/>
      <c r="F58" s="122"/>
      <c r="G58" s="126"/>
      <c r="H58" s="123"/>
      <c r="I58" s="127"/>
      <c r="J58" s="128"/>
      <c r="K58" s="128"/>
      <c r="L58" s="128"/>
      <c r="M58" s="129">
        <f t="shared" si="2"/>
        <v>34132.600000000013</v>
      </c>
    </row>
    <row r="59" spans="1:13" x14ac:dyDescent="0.2">
      <c r="A59" s="131"/>
      <c r="B59" s="132"/>
      <c r="C59" s="122"/>
      <c r="D59" s="122"/>
      <c r="E59" s="122"/>
      <c r="F59" s="122"/>
      <c r="G59" s="133"/>
      <c r="H59" s="123"/>
      <c r="I59" s="127"/>
      <c r="J59" s="128"/>
      <c r="K59" s="128"/>
      <c r="L59" s="128"/>
      <c r="M59" s="129">
        <f t="shared" si="2"/>
        <v>34132.600000000013</v>
      </c>
    </row>
    <row r="60" spans="1:13" x14ac:dyDescent="0.2">
      <c r="A60" s="139"/>
      <c r="B60" s="140"/>
      <c r="C60" s="141"/>
      <c r="D60" s="141"/>
      <c r="E60" s="141"/>
      <c r="F60" s="141"/>
      <c r="G60" s="142"/>
      <c r="H60" s="143"/>
      <c r="I60" s="144"/>
      <c r="J60" s="145"/>
      <c r="K60" s="145"/>
      <c r="L60" s="145"/>
      <c r="M60" s="129">
        <f t="shared" si="2"/>
        <v>34132.600000000013</v>
      </c>
    </row>
    <row r="61" spans="1:13" ht="15" x14ac:dyDescent="0.25">
      <c r="A61" s="533" t="s">
        <v>12</v>
      </c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129">
        <f t="shared" si="2"/>
        <v>34132.600000000013</v>
      </c>
    </row>
    <row r="62" spans="1:13" x14ac:dyDescent="0.2">
      <c r="A62" s="131"/>
      <c r="B62" s="132"/>
      <c r="C62" s="122"/>
      <c r="D62" s="122"/>
      <c r="E62" s="122"/>
      <c r="F62" s="122"/>
      <c r="G62" s="133"/>
      <c r="H62" s="123"/>
      <c r="I62" s="127"/>
      <c r="J62" s="128"/>
      <c r="K62" s="128"/>
      <c r="L62" s="128"/>
      <c r="M62" s="129">
        <f t="shared" si="2"/>
        <v>34132.600000000013</v>
      </c>
    </row>
    <row r="63" spans="1:13" x14ac:dyDescent="0.2">
      <c r="A63" s="10">
        <v>36899</v>
      </c>
      <c r="B63" s="132"/>
      <c r="C63" s="122"/>
      <c r="D63" s="146"/>
      <c r="E63" s="122"/>
      <c r="F63" s="146" t="s">
        <v>102</v>
      </c>
      <c r="G63" s="147" t="s">
        <v>103</v>
      </c>
      <c r="H63" s="148" t="s">
        <v>104</v>
      </c>
      <c r="I63" s="127"/>
      <c r="J63" s="128"/>
      <c r="K63" s="128"/>
      <c r="L63" s="149">
        <v>1764.88</v>
      </c>
      <c r="M63" s="129">
        <f t="shared" si="2"/>
        <v>32367.720000000012</v>
      </c>
    </row>
    <row r="64" spans="1:13" x14ac:dyDescent="0.2">
      <c r="A64" s="10">
        <v>36900</v>
      </c>
      <c r="B64" s="132"/>
      <c r="C64" s="122"/>
      <c r="D64" s="146"/>
      <c r="E64" s="122"/>
      <c r="F64" s="146" t="s">
        <v>105</v>
      </c>
      <c r="G64" s="147" t="s">
        <v>103</v>
      </c>
      <c r="H64" s="148" t="s">
        <v>106</v>
      </c>
      <c r="I64" s="127"/>
      <c r="J64" s="128"/>
      <c r="K64" s="128"/>
      <c r="L64" s="149">
        <v>2307.92</v>
      </c>
      <c r="M64" s="129">
        <f t="shared" si="2"/>
        <v>30059.80000000001</v>
      </c>
    </row>
    <row r="65" spans="1:13" x14ac:dyDescent="0.2">
      <c r="A65" s="10">
        <v>36901</v>
      </c>
      <c r="B65" s="132"/>
      <c r="C65" s="122"/>
      <c r="D65" s="146"/>
      <c r="E65" s="122"/>
      <c r="F65" s="146" t="s">
        <v>107</v>
      </c>
      <c r="G65" s="147" t="s">
        <v>103</v>
      </c>
      <c r="H65" s="148" t="s">
        <v>108</v>
      </c>
      <c r="I65" s="127"/>
      <c r="J65" s="128"/>
      <c r="K65" s="128"/>
      <c r="L65" s="149">
        <v>678.8</v>
      </c>
      <c r="M65" s="129">
        <f t="shared" si="2"/>
        <v>29381.000000000011</v>
      </c>
    </row>
    <row r="66" spans="1:13" s="150" customFormat="1" x14ac:dyDescent="0.2">
      <c r="A66" s="10">
        <v>36902</v>
      </c>
      <c r="B66" s="132"/>
      <c r="C66" s="122"/>
      <c r="D66" s="146"/>
      <c r="E66" s="122"/>
      <c r="F66" s="146" t="s">
        <v>109</v>
      </c>
      <c r="G66" s="147" t="s">
        <v>103</v>
      </c>
      <c r="H66" s="148" t="s">
        <v>110</v>
      </c>
      <c r="I66" s="127"/>
      <c r="J66" s="128"/>
      <c r="K66" s="128"/>
      <c r="L66" s="149">
        <v>678.8</v>
      </c>
      <c r="M66" s="129">
        <f t="shared" si="2"/>
        <v>28702.200000000012</v>
      </c>
    </row>
    <row r="67" spans="1:13" x14ac:dyDescent="0.2">
      <c r="A67" s="10">
        <v>43126</v>
      </c>
      <c r="B67" s="151" t="s">
        <v>111</v>
      </c>
      <c r="C67" s="152"/>
      <c r="D67" s="153">
        <v>254</v>
      </c>
      <c r="E67" s="122"/>
      <c r="F67" s="122" t="s">
        <v>112</v>
      </c>
      <c r="G67" s="154" t="s">
        <v>113</v>
      </c>
      <c r="H67" s="123"/>
      <c r="I67" s="127"/>
      <c r="J67" s="128"/>
      <c r="K67" s="128"/>
      <c r="L67" s="149">
        <v>850</v>
      </c>
      <c r="M67" s="129">
        <f t="shared" si="2"/>
        <v>27852.200000000012</v>
      </c>
    </row>
    <row r="68" spans="1:13" x14ac:dyDescent="0.2">
      <c r="A68" s="10"/>
      <c r="B68" s="151" t="s">
        <v>114</v>
      </c>
      <c r="C68" s="152"/>
      <c r="D68" s="153">
        <v>253</v>
      </c>
      <c r="E68" s="122"/>
      <c r="F68" s="122"/>
      <c r="G68" s="154" t="s">
        <v>115</v>
      </c>
      <c r="H68" s="155"/>
      <c r="I68" s="127"/>
      <c r="J68" s="128"/>
      <c r="K68" s="128"/>
      <c r="L68" s="149">
        <v>950</v>
      </c>
      <c r="M68" s="129">
        <f t="shared" si="2"/>
        <v>26902.200000000012</v>
      </c>
    </row>
    <row r="69" spans="1:13" x14ac:dyDescent="0.2">
      <c r="A69" s="10"/>
      <c r="B69" s="151" t="s">
        <v>116</v>
      </c>
      <c r="C69" s="152"/>
      <c r="D69" s="153">
        <v>252</v>
      </c>
      <c r="E69" s="122"/>
      <c r="F69" s="122"/>
      <c r="G69" s="154" t="s">
        <v>117</v>
      </c>
      <c r="H69" s="155"/>
      <c r="I69" s="127"/>
      <c r="J69" s="128"/>
      <c r="K69" s="128"/>
      <c r="L69" s="149">
        <v>1700</v>
      </c>
      <c r="M69" s="129">
        <f t="shared" si="2"/>
        <v>25202.200000000012</v>
      </c>
    </row>
    <row r="70" spans="1:13" x14ac:dyDescent="0.2">
      <c r="A70" s="131"/>
      <c r="B70" s="151" t="s">
        <v>118</v>
      </c>
      <c r="C70" s="152"/>
      <c r="D70" s="153">
        <v>319</v>
      </c>
      <c r="E70" s="122"/>
      <c r="F70" s="122" t="s">
        <v>119</v>
      </c>
      <c r="G70" s="133" t="s">
        <v>120</v>
      </c>
      <c r="H70" s="154" t="s">
        <v>121</v>
      </c>
      <c r="I70" s="127"/>
      <c r="J70" s="128"/>
      <c r="K70" s="128"/>
      <c r="L70" s="128">
        <v>800</v>
      </c>
      <c r="M70" s="129">
        <f t="shared" si="2"/>
        <v>24402.200000000012</v>
      </c>
    </row>
    <row r="71" spans="1:13" x14ac:dyDescent="0.2">
      <c r="A71" s="131"/>
      <c r="B71" s="151" t="s">
        <v>122</v>
      </c>
      <c r="C71" s="152"/>
      <c r="D71" s="153">
        <v>321</v>
      </c>
      <c r="E71" s="122"/>
      <c r="F71" s="122" t="s">
        <v>123</v>
      </c>
      <c r="G71" s="133" t="s">
        <v>120</v>
      </c>
      <c r="H71" s="154" t="s">
        <v>124</v>
      </c>
      <c r="I71" s="127"/>
      <c r="J71" s="128"/>
      <c r="K71" s="128"/>
      <c r="L71" s="128">
        <v>1500</v>
      </c>
      <c r="M71" s="129">
        <f t="shared" si="2"/>
        <v>22902.200000000012</v>
      </c>
    </row>
    <row r="72" spans="1:13" x14ac:dyDescent="0.2">
      <c r="A72" s="131"/>
      <c r="B72" s="151" t="s">
        <v>125</v>
      </c>
      <c r="C72" s="152"/>
      <c r="D72" s="153">
        <v>322</v>
      </c>
      <c r="E72" s="122"/>
      <c r="F72" s="122" t="s">
        <v>126</v>
      </c>
      <c r="G72" s="133" t="s">
        <v>127</v>
      </c>
      <c r="H72" s="123" t="s">
        <v>128</v>
      </c>
      <c r="I72" s="127"/>
      <c r="J72" s="128"/>
      <c r="K72" s="128"/>
      <c r="L72" s="128">
        <v>2080</v>
      </c>
      <c r="M72" s="129">
        <f t="shared" si="2"/>
        <v>20822.200000000012</v>
      </c>
    </row>
    <row r="73" spans="1:13" x14ac:dyDescent="0.2">
      <c r="A73" s="131"/>
      <c r="B73" s="151" t="s">
        <v>129</v>
      </c>
      <c r="C73" s="152"/>
      <c r="D73" s="153">
        <v>323</v>
      </c>
      <c r="E73" s="122"/>
      <c r="F73" s="122" t="s">
        <v>130</v>
      </c>
      <c r="G73" s="133" t="s">
        <v>127</v>
      </c>
      <c r="H73" s="123" t="s">
        <v>131</v>
      </c>
      <c r="I73" s="127"/>
      <c r="J73" s="128"/>
      <c r="K73" s="128"/>
      <c r="L73" s="128">
        <v>2080</v>
      </c>
      <c r="M73" s="129">
        <f t="shared" ref="M73:M83" si="3">+K73-L73+M72</f>
        <v>18742.200000000012</v>
      </c>
    </row>
    <row r="74" spans="1:13" x14ac:dyDescent="0.2">
      <c r="A74" s="131"/>
      <c r="B74" s="151" t="s">
        <v>132</v>
      </c>
      <c r="C74" s="152"/>
      <c r="D74" s="156" t="s">
        <v>133</v>
      </c>
      <c r="E74" s="122"/>
      <c r="F74" s="122" t="s">
        <v>134</v>
      </c>
      <c r="G74" s="133" t="s">
        <v>127</v>
      </c>
      <c r="H74" s="123" t="s">
        <v>135</v>
      </c>
      <c r="I74" s="127"/>
      <c r="J74" s="128"/>
      <c r="K74" s="128"/>
      <c r="L74" s="128">
        <v>1040</v>
      </c>
      <c r="M74" s="129">
        <f t="shared" si="3"/>
        <v>17702.200000000012</v>
      </c>
    </row>
    <row r="75" spans="1:13" x14ac:dyDescent="0.2">
      <c r="A75" s="131"/>
      <c r="B75" s="151" t="s">
        <v>136</v>
      </c>
      <c r="C75" s="152"/>
      <c r="D75" s="153">
        <v>325</v>
      </c>
      <c r="E75" s="122"/>
      <c r="F75" s="122" t="s">
        <v>137</v>
      </c>
      <c r="G75" s="133" t="s">
        <v>127</v>
      </c>
      <c r="H75" s="123" t="s">
        <v>138</v>
      </c>
      <c r="I75" s="127"/>
      <c r="J75" s="128"/>
      <c r="K75" s="128"/>
      <c r="L75" s="128">
        <v>1040</v>
      </c>
      <c r="M75" s="129">
        <f t="shared" si="3"/>
        <v>16662.200000000012</v>
      </c>
    </row>
    <row r="76" spans="1:13" x14ac:dyDescent="0.2">
      <c r="A76" s="131"/>
      <c r="B76" s="151" t="s">
        <v>139</v>
      </c>
      <c r="C76" s="152"/>
      <c r="D76" s="153">
        <v>326</v>
      </c>
      <c r="E76" s="122"/>
      <c r="F76" s="122" t="s">
        <v>140</v>
      </c>
      <c r="G76" s="133" t="s">
        <v>127</v>
      </c>
      <c r="H76" s="123" t="s">
        <v>141</v>
      </c>
      <c r="I76" s="127"/>
      <c r="J76" s="128"/>
      <c r="K76" s="128"/>
      <c r="L76" s="128">
        <v>1040</v>
      </c>
      <c r="M76" s="129">
        <f t="shared" si="3"/>
        <v>15622.200000000012</v>
      </c>
    </row>
    <row r="77" spans="1:13" x14ac:dyDescent="0.2">
      <c r="A77" s="131"/>
      <c r="B77" s="151" t="s">
        <v>142</v>
      </c>
      <c r="C77" s="152"/>
      <c r="D77" s="153">
        <v>327</v>
      </c>
      <c r="E77" s="122"/>
      <c r="F77" s="122" t="s">
        <v>143</v>
      </c>
      <c r="G77" s="133" t="s">
        <v>127</v>
      </c>
      <c r="H77" s="123" t="s">
        <v>144</v>
      </c>
      <c r="I77" s="127"/>
      <c r="J77" s="128"/>
      <c r="K77" s="128"/>
      <c r="L77" s="128">
        <v>1040</v>
      </c>
      <c r="M77" s="129">
        <f t="shared" si="3"/>
        <v>14582.200000000012</v>
      </c>
    </row>
    <row r="78" spans="1:13" x14ac:dyDescent="0.2">
      <c r="A78" s="131"/>
      <c r="B78" s="151" t="s">
        <v>145</v>
      </c>
      <c r="C78" s="152"/>
      <c r="D78" s="153">
        <v>328</v>
      </c>
      <c r="E78" s="122"/>
      <c r="F78" s="122" t="s">
        <v>146</v>
      </c>
      <c r="G78" s="133" t="s">
        <v>127</v>
      </c>
      <c r="H78" s="123" t="s">
        <v>147</v>
      </c>
      <c r="I78" s="127"/>
      <c r="J78" s="128"/>
      <c r="K78" s="128"/>
      <c r="L78" s="128">
        <v>1040</v>
      </c>
      <c r="M78" s="129">
        <f t="shared" si="3"/>
        <v>13542.200000000012</v>
      </c>
    </row>
    <row r="79" spans="1:13" x14ac:dyDescent="0.2">
      <c r="A79" s="131"/>
      <c r="B79" s="132"/>
      <c r="C79" s="122"/>
      <c r="D79" s="146"/>
      <c r="E79" s="122"/>
      <c r="F79" s="122" t="s">
        <v>148</v>
      </c>
      <c r="G79" s="133" t="s">
        <v>127</v>
      </c>
      <c r="H79" s="123" t="s">
        <v>149</v>
      </c>
      <c r="I79" s="127"/>
      <c r="J79" s="128"/>
      <c r="K79" s="128"/>
      <c r="L79" s="128">
        <v>1040</v>
      </c>
      <c r="M79" s="129">
        <f t="shared" si="3"/>
        <v>12502.200000000012</v>
      </c>
    </row>
    <row r="80" spans="1:13" x14ac:dyDescent="0.2">
      <c r="A80" s="131"/>
      <c r="B80" s="132"/>
      <c r="C80" s="122"/>
      <c r="D80" s="146"/>
      <c r="E80" s="122"/>
      <c r="F80" s="122"/>
      <c r="G80" s="536" t="s">
        <v>150</v>
      </c>
      <c r="H80" s="537"/>
      <c r="I80" s="127"/>
      <c r="J80" s="128"/>
      <c r="K80" s="128"/>
      <c r="L80" s="128"/>
      <c r="M80" s="129">
        <f t="shared" si="3"/>
        <v>12502.200000000012</v>
      </c>
    </row>
    <row r="81" spans="1:13" x14ac:dyDescent="0.2">
      <c r="A81" s="131"/>
      <c r="B81" s="132"/>
      <c r="C81" s="122"/>
      <c r="D81" s="122"/>
      <c r="E81" s="122"/>
      <c r="F81" s="122"/>
      <c r="G81" s="133" t="s">
        <v>151</v>
      </c>
      <c r="H81" s="123"/>
      <c r="I81" s="127"/>
      <c r="J81" s="128"/>
      <c r="K81" s="128"/>
      <c r="L81" s="128">
        <v>308</v>
      </c>
      <c r="M81" s="129">
        <f t="shared" si="3"/>
        <v>12194.200000000012</v>
      </c>
    </row>
    <row r="82" spans="1:13" x14ac:dyDescent="0.2">
      <c r="A82" s="131"/>
      <c r="B82" s="132"/>
      <c r="C82" s="122"/>
      <c r="D82" s="122"/>
      <c r="E82" s="122"/>
      <c r="F82" s="122"/>
      <c r="G82" s="133" t="s">
        <v>152</v>
      </c>
      <c r="H82" s="123"/>
      <c r="I82" s="127"/>
      <c r="J82" s="128"/>
      <c r="K82" s="128"/>
      <c r="L82" s="128">
        <v>164</v>
      </c>
      <c r="M82" s="129">
        <f t="shared" si="3"/>
        <v>12030.200000000012</v>
      </c>
    </row>
    <row r="83" spans="1:13" x14ac:dyDescent="0.2">
      <c r="A83" s="131"/>
      <c r="B83" s="132"/>
      <c r="C83" s="122"/>
      <c r="D83" s="122"/>
      <c r="E83" s="122"/>
      <c r="F83" s="122"/>
      <c r="G83" s="133"/>
      <c r="H83" s="123"/>
      <c r="I83" s="127"/>
      <c r="J83" s="128"/>
      <c r="K83" s="128"/>
      <c r="L83" s="128"/>
      <c r="M83" s="129">
        <f t="shared" si="3"/>
        <v>12030.200000000012</v>
      </c>
    </row>
    <row r="84" spans="1:13" x14ac:dyDescent="0.2">
      <c r="A84" s="131"/>
      <c r="B84" s="132"/>
      <c r="C84" s="122"/>
      <c r="D84" s="122"/>
      <c r="E84" s="122"/>
      <c r="F84" s="122"/>
      <c r="G84" s="133"/>
      <c r="H84" s="123"/>
      <c r="I84" s="127"/>
      <c r="J84" s="128"/>
      <c r="K84" s="128"/>
      <c r="L84" s="128"/>
      <c r="M84" s="129"/>
    </row>
    <row r="85" spans="1:13" ht="13.5" thickBot="1" x14ac:dyDescent="0.25">
      <c r="A85" s="131"/>
      <c r="B85" s="132"/>
      <c r="C85" s="122"/>
      <c r="D85" s="122"/>
      <c r="E85" s="122"/>
      <c r="F85" s="122"/>
      <c r="G85" s="133"/>
      <c r="H85" s="123"/>
      <c r="I85" s="127"/>
      <c r="J85" s="128"/>
      <c r="K85" s="128"/>
      <c r="L85" s="128"/>
      <c r="M85" s="129"/>
    </row>
    <row r="86" spans="1:13" ht="13.5" thickBot="1" x14ac:dyDescent="0.25">
      <c r="A86" s="115"/>
      <c r="B86" s="116"/>
      <c r="C86" s="117"/>
      <c r="D86" s="117"/>
      <c r="E86" s="157"/>
      <c r="F86" s="158"/>
      <c r="G86" s="159"/>
      <c r="H86" s="160" t="s">
        <v>153</v>
      </c>
      <c r="I86" s="161">
        <f>SUM(I6:I56)</f>
        <v>50195</v>
      </c>
      <c r="J86" s="162">
        <f>SUM(J5:J85)</f>
        <v>16062.399999999998</v>
      </c>
      <c r="K86" s="163">
        <f>SUM(K6:K85)</f>
        <v>34132.600000000013</v>
      </c>
      <c r="L86" s="164">
        <f>SUM(L62:L85)</f>
        <v>22102.400000000001</v>
      </c>
      <c r="M86" s="165"/>
    </row>
    <row r="87" spans="1:13" ht="13.5" thickBot="1" x14ac:dyDescent="0.25">
      <c r="A87" s="166"/>
      <c r="C87" s="168"/>
      <c r="D87" s="168"/>
      <c r="E87" s="169"/>
      <c r="F87" s="170"/>
      <c r="G87" s="171"/>
      <c r="H87" s="160" t="s">
        <v>13</v>
      </c>
      <c r="I87" s="172"/>
      <c r="J87" s="173"/>
      <c r="K87" s="174"/>
      <c r="L87" s="174"/>
      <c r="M87" s="175">
        <f>+K86-L86+M5</f>
        <v>12030.200000000012</v>
      </c>
    </row>
    <row r="89" spans="1:13" x14ac:dyDescent="0.2">
      <c r="A89" s="527" t="s">
        <v>95</v>
      </c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9"/>
    </row>
    <row r="90" spans="1:13" x14ac:dyDescent="0.2">
      <c r="A90" s="530"/>
      <c r="B90" s="531"/>
      <c r="C90" s="531"/>
      <c r="D90" s="531"/>
      <c r="E90" s="531"/>
      <c r="F90" s="531"/>
      <c r="G90" s="531"/>
      <c r="H90" s="531"/>
      <c r="I90" s="531"/>
      <c r="J90" s="531"/>
      <c r="K90" s="531"/>
      <c r="L90" s="531"/>
      <c r="M90" s="532"/>
    </row>
    <row r="91" spans="1:13" ht="15" x14ac:dyDescent="0.25">
      <c r="A91" s="533" t="s">
        <v>14</v>
      </c>
      <c r="B91" s="534"/>
      <c r="C91" s="534"/>
      <c r="D91" s="534"/>
      <c r="E91" s="534"/>
      <c r="F91" s="534"/>
      <c r="G91" s="534"/>
      <c r="H91" s="534"/>
      <c r="I91" s="534"/>
      <c r="J91" s="534"/>
      <c r="K91" s="534"/>
      <c r="L91" s="534"/>
      <c r="M91" s="534"/>
    </row>
    <row r="92" spans="1:13" s="180" customFormat="1" x14ac:dyDescent="0.2">
      <c r="A92" s="115" t="s">
        <v>1</v>
      </c>
      <c r="B92" s="116" t="s">
        <v>2</v>
      </c>
      <c r="C92" s="117" t="s">
        <v>3</v>
      </c>
      <c r="D92" s="117" t="s">
        <v>4</v>
      </c>
      <c r="E92" s="117" t="s">
        <v>96</v>
      </c>
      <c r="F92" s="117" t="s">
        <v>5</v>
      </c>
      <c r="G92" s="118" t="s">
        <v>97</v>
      </c>
      <c r="H92" s="118" t="s">
        <v>6</v>
      </c>
      <c r="I92" s="117" t="s">
        <v>7</v>
      </c>
      <c r="J92" s="117" t="s">
        <v>8</v>
      </c>
      <c r="K92" s="117" t="s">
        <v>9</v>
      </c>
      <c r="L92" s="119" t="s">
        <v>10</v>
      </c>
      <c r="M92" s="117" t="s">
        <v>11</v>
      </c>
    </row>
    <row r="93" spans="1:13" x14ac:dyDescent="0.2">
      <c r="A93" s="120"/>
      <c r="B93" s="121"/>
      <c r="C93" s="122"/>
      <c r="D93" s="122"/>
      <c r="E93" s="122"/>
      <c r="F93" s="122"/>
      <c r="G93" s="101"/>
      <c r="H93" s="123"/>
      <c r="I93" s="124"/>
      <c r="J93" s="125"/>
      <c r="K93" s="125"/>
      <c r="L93" s="125"/>
      <c r="M93" s="124">
        <f>+M87</f>
        <v>12030.200000000012</v>
      </c>
    </row>
    <row r="94" spans="1:13" ht="14.25" x14ac:dyDescent="0.2">
      <c r="A94" s="10">
        <v>43132</v>
      </c>
      <c r="B94" s="111">
        <v>584</v>
      </c>
      <c r="C94" s="122"/>
      <c r="D94" s="122"/>
      <c r="E94" s="122"/>
      <c r="F94" s="122"/>
      <c r="G94" s="126" t="s">
        <v>154</v>
      </c>
      <c r="H94" s="123"/>
      <c r="I94" s="181">
        <v>20</v>
      </c>
      <c r="J94" s="182">
        <f>+I94*0.32</f>
        <v>6.4</v>
      </c>
      <c r="K94" s="182">
        <f>+I94*0.68</f>
        <v>13.600000000000001</v>
      </c>
      <c r="L94" s="128"/>
      <c r="M94" s="129">
        <f>+K94-L94+M93</f>
        <v>12043.800000000012</v>
      </c>
    </row>
    <row r="95" spans="1:13" ht="14.25" x14ac:dyDescent="0.2">
      <c r="A95" s="10">
        <v>43133</v>
      </c>
      <c r="B95" s="111">
        <v>584</v>
      </c>
      <c r="C95" s="122"/>
      <c r="D95" s="122"/>
      <c r="E95" s="122"/>
      <c r="F95" s="122"/>
      <c r="G95" s="126" t="s">
        <v>154</v>
      </c>
      <c r="H95" s="123"/>
      <c r="I95" s="181">
        <v>190</v>
      </c>
      <c r="J95" s="182">
        <f t="shared" ref="J95:J137" si="4">+I95*0.32</f>
        <v>60.800000000000004</v>
      </c>
      <c r="K95" s="182">
        <f t="shared" ref="K95:K137" si="5">+I95*0.68</f>
        <v>129.20000000000002</v>
      </c>
      <c r="L95" s="128"/>
      <c r="M95" s="129">
        <f>+K95-L95+M94</f>
        <v>12173.000000000013</v>
      </c>
    </row>
    <row r="96" spans="1:13" ht="14.25" x14ac:dyDescent="0.2">
      <c r="A96" s="10">
        <v>43136</v>
      </c>
      <c r="B96" s="111">
        <v>584</v>
      </c>
      <c r="C96" s="122"/>
      <c r="D96" s="122"/>
      <c r="E96" s="183"/>
      <c r="F96" s="183"/>
      <c r="G96" s="126" t="s">
        <v>154</v>
      </c>
      <c r="H96" s="123"/>
      <c r="I96" s="181">
        <v>358</v>
      </c>
      <c r="J96" s="182">
        <f t="shared" si="4"/>
        <v>114.56</v>
      </c>
      <c r="K96" s="182">
        <f t="shared" si="5"/>
        <v>243.44000000000003</v>
      </c>
      <c r="L96" s="128"/>
      <c r="M96" s="129">
        <f>+K96-L96+M95</f>
        <v>12416.440000000013</v>
      </c>
    </row>
    <row r="97" spans="1:13" ht="14.25" x14ac:dyDescent="0.2">
      <c r="A97" s="10">
        <v>43137</v>
      </c>
      <c r="B97" s="111">
        <v>584</v>
      </c>
      <c r="C97" s="122"/>
      <c r="D97" s="122"/>
      <c r="E97" s="122"/>
      <c r="F97" s="122"/>
      <c r="G97" s="126" t="s">
        <v>154</v>
      </c>
      <c r="H97" s="123"/>
      <c r="I97" s="181">
        <v>270</v>
      </c>
      <c r="J97" s="182">
        <f t="shared" si="4"/>
        <v>86.4</v>
      </c>
      <c r="K97" s="182">
        <f t="shared" si="5"/>
        <v>183.60000000000002</v>
      </c>
      <c r="L97" s="128"/>
      <c r="M97" s="129">
        <f t="shared" ref="M97:M157" si="6">+K97-L97+M96</f>
        <v>12600.040000000014</v>
      </c>
    </row>
    <row r="98" spans="1:13" ht="14.25" x14ac:dyDescent="0.2">
      <c r="A98" s="10">
        <v>43138</v>
      </c>
      <c r="B98" s="111">
        <v>584</v>
      </c>
      <c r="C98" s="122"/>
      <c r="D98" s="122"/>
      <c r="E98" s="122"/>
      <c r="F98" s="122"/>
      <c r="G98" s="126" t="s">
        <v>154</v>
      </c>
      <c r="H98" s="123"/>
      <c r="I98" s="181">
        <v>390</v>
      </c>
      <c r="J98" s="182">
        <f t="shared" si="4"/>
        <v>124.8</v>
      </c>
      <c r="K98" s="182">
        <f t="shared" si="5"/>
        <v>265.20000000000005</v>
      </c>
      <c r="L98" s="128"/>
      <c r="M98" s="129">
        <f t="shared" si="6"/>
        <v>12865.240000000014</v>
      </c>
    </row>
    <row r="99" spans="1:13" ht="14.25" x14ac:dyDescent="0.2">
      <c r="A99" s="10">
        <v>43139</v>
      </c>
      <c r="B99" s="111">
        <v>584</v>
      </c>
      <c r="C99" s="122"/>
      <c r="D99" s="122"/>
      <c r="E99" s="122"/>
      <c r="F99" s="122"/>
      <c r="G99" s="126" t="s">
        <v>154</v>
      </c>
      <c r="H99" s="123"/>
      <c r="I99" s="181">
        <v>344</v>
      </c>
      <c r="J99" s="182">
        <f t="shared" si="4"/>
        <v>110.08</v>
      </c>
      <c r="K99" s="182">
        <f t="shared" si="5"/>
        <v>233.92000000000002</v>
      </c>
      <c r="L99" s="128"/>
      <c r="M99" s="129">
        <f t="shared" si="6"/>
        <v>13099.160000000014</v>
      </c>
    </row>
    <row r="100" spans="1:13" ht="14.25" x14ac:dyDescent="0.2">
      <c r="A100" s="10">
        <v>43140</v>
      </c>
      <c r="B100" s="111">
        <v>584</v>
      </c>
      <c r="C100" s="122"/>
      <c r="D100" s="122"/>
      <c r="E100" s="122"/>
      <c r="F100" s="122"/>
      <c r="G100" s="126" t="s">
        <v>154</v>
      </c>
      <c r="H100" s="123"/>
      <c r="I100" s="181">
        <v>290</v>
      </c>
      <c r="J100" s="182">
        <f t="shared" si="4"/>
        <v>92.8</v>
      </c>
      <c r="K100" s="182">
        <f t="shared" si="5"/>
        <v>197.20000000000002</v>
      </c>
      <c r="L100" s="128"/>
      <c r="M100" s="129">
        <f t="shared" si="6"/>
        <v>13296.360000000015</v>
      </c>
    </row>
    <row r="101" spans="1:13" ht="14.25" x14ac:dyDescent="0.2">
      <c r="A101" s="10">
        <v>43141</v>
      </c>
      <c r="B101" s="111">
        <v>584</v>
      </c>
      <c r="C101" s="122"/>
      <c r="D101" s="122"/>
      <c r="E101" s="122"/>
      <c r="F101" s="122"/>
      <c r="G101" s="126" t="s">
        <v>154</v>
      </c>
      <c r="H101" s="123"/>
      <c r="I101" s="181">
        <v>436</v>
      </c>
      <c r="J101" s="182">
        <f t="shared" si="4"/>
        <v>139.52000000000001</v>
      </c>
      <c r="K101" s="182">
        <f t="shared" si="5"/>
        <v>296.48</v>
      </c>
      <c r="L101" s="128"/>
      <c r="M101" s="129">
        <f t="shared" si="6"/>
        <v>13592.840000000015</v>
      </c>
    </row>
    <row r="102" spans="1:13" ht="14.25" x14ac:dyDescent="0.2">
      <c r="A102" s="10">
        <v>43145</v>
      </c>
      <c r="B102" s="111">
        <v>584</v>
      </c>
      <c r="C102" s="122"/>
      <c r="D102" s="122"/>
      <c r="E102" s="122"/>
      <c r="F102" s="122"/>
      <c r="G102" s="126" t="s">
        <v>154</v>
      </c>
      <c r="H102" s="123"/>
      <c r="I102" s="181">
        <v>642</v>
      </c>
      <c r="J102" s="182">
        <f t="shared" si="4"/>
        <v>205.44</v>
      </c>
      <c r="K102" s="182">
        <f t="shared" si="5"/>
        <v>436.56000000000006</v>
      </c>
      <c r="L102" s="128"/>
      <c r="M102" s="129">
        <f t="shared" si="6"/>
        <v>14029.400000000014</v>
      </c>
    </row>
    <row r="103" spans="1:13" ht="14.25" x14ac:dyDescent="0.2">
      <c r="A103" s="10">
        <v>43146</v>
      </c>
      <c r="B103" s="111">
        <v>584</v>
      </c>
      <c r="C103" s="122"/>
      <c r="D103" s="122"/>
      <c r="E103" s="122"/>
      <c r="F103" s="122"/>
      <c r="G103" s="126" t="s">
        <v>154</v>
      </c>
      <c r="H103" s="123"/>
      <c r="I103" s="181">
        <v>1366</v>
      </c>
      <c r="J103" s="182">
        <f t="shared" si="4"/>
        <v>437.12</v>
      </c>
      <c r="K103" s="182">
        <f t="shared" si="5"/>
        <v>928.88000000000011</v>
      </c>
      <c r="L103" s="128"/>
      <c r="M103" s="129">
        <f t="shared" si="6"/>
        <v>14958.280000000013</v>
      </c>
    </row>
    <row r="104" spans="1:13" ht="15" x14ac:dyDescent="0.25">
      <c r="A104" s="10">
        <v>43150</v>
      </c>
      <c r="B104" s="111">
        <v>754</v>
      </c>
      <c r="C104" s="134"/>
      <c r="D104" s="135"/>
      <c r="E104" s="122"/>
      <c r="F104" s="122"/>
      <c r="G104" s="126" t="s">
        <v>155</v>
      </c>
      <c r="H104" s="136"/>
      <c r="I104" s="135">
        <v>760</v>
      </c>
      <c r="J104" s="128">
        <f t="shared" si="4"/>
        <v>243.20000000000002</v>
      </c>
      <c r="K104" s="128">
        <f t="shared" si="5"/>
        <v>516.80000000000007</v>
      </c>
      <c r="L104" s="128"/>
      <c r="M104" s="129">
        <f t="shared" si="6"/>
        <v>15475.080000000013</v>
      </c>
    </row>
    <row r="105" spans="1:13" ht="15" x14ac:dyDescent="0.25">
      <c r="A105" s="10">
        <v>43151</v>
      </c>
      <c r="B105" s="111">
        <v>754</v>
      </c>
      <c r="C105" s="134"/>
      <c r="D105" s="135"/>
      <c r="E105" s="122"/>
      <c r="F105" s="122"/>
      <c r="G105" s="126" t="s">
        <v>155</v>
      </c>
      <c r="H105" s="136"/>
      <c r="I105" s="135">
        <v>576</v>
      </c>
      <c r="J105" s="128">
        <f t="shared" si="4"/>
        <v>184.32</v>
      </c>
      <c r="K105" s="128">
        <f t="shared" si="5"/>
        <v>391.68</v>
      </c>
      <c r="L105" s="128"/>
      <c r="M105" s="129">
        <f t="shared" si="6"/>
        <v>15866.760000000013</v>
      </c>
    </row>
    <row r="106" spans="1:13" ht="15" x14ac:dyDescent="0.25">
      <c r="A106" s="10">
        <v>43152</v>
      </c>
      <c r="B106" s="111">
        <v>754</v>
      </c>
      <c r="C106" s="134"/>
      <c r="D106" s="135"/>
      <c r="E106" s="122"/>
      <c r="F106" s="122"/>
      <c r="G106" s="126" t="s">
        <v>155</v>
      </c>
      <c r="H106" s="136"/>
      <c r="I106" s="135">
        <v>625</v>
      </c>
      <c r="J106" s="128">
        <f t="shared" si="4"/>
        <v>200</v>
      </c>
      <c r="K106" s="128">
        <f t="shared" si="5"/>
        <v>425.00000000000006</v>
      </c>
      <c r="L106" s="128"/>
      <c r="M106" s="129">
        <f t="shared" si="6"/>
        <v>16291.760000000013</v>
      </c>
    </row>
    <row r="107" spans="1:13" ht="15" x14ac:dyDescent="0.25">
      <c r="A107" s="10">
        <v>43153</v>
      </c>
      <c r="B107" s="111">
        <v>754</v>
      </c>
      <c r="C107" s="134"/>
      <c r="D107" s="135"/>
      <c r="E107" s="122"/>
      <c r="F107" s="122"/>
      <c r="G107" s="126" t="s">
        <v>155</v>
      </c>
      <c r="H107" s="136"/>
      <c r="I107" s="135">
        <v>616</v>
      </c>
      <c r="J107" s="128">
        <f t="shared" si="4"/>
        <v>197.12</v>
      </c>
      <c r="K107" s="128">
        <f t="shared" si="5"/>
        <v>418.88000000000005</v>
      </c>
      <c r="L107" s="128"/>
      <c r="M107" s="129">
        <f t="shared" si="6"/>
        <v>16710.640000000014</v>
      </c>
    </row>
    <row r="108" spans="1:13" x14ac:dyDescent="0.2">
      <c r="A108" s="10">
        <v>43154</v>
      </c>
      <c r="B108" s="111">
        <v>754</v>
      </c>
      <c r="C108" s="122"/>
      <c r="D108" s="122"/>
      <c r="E108" s="122"/>
      <c r="F108" s="122"/>
      <c r="G108" s="126" t="s">
        <v>155</v>
      </c>
      <c r="H108" s="123"/>
      <c r="I108" s="127">
        <v>596</v>
      </c>
      <c r="J108" s="128">
        <f t="shared" si="4"/>
        <v>190.72</v>
      </c>
      <c r="K108" s="128">
        <f t="shared" si="5"/>
        <v>405.28000000000003</v>
      </c>
      <c r="L108" s="128"/>
      <c r="M108" s="129">
        <f t="shared" si="6"/>
        <v>17115.920000000013</v>
      </c>
    </row>
    <row r="109" spans="1:13" x14ac:dyDescent="0.2">
      <c r="A109" s="10">
        <v>43157</v>
      </c>
      <c r="B109" s="184">
        <v>1086</v>
      </c>
      <c r="C109" s="122"/>
      <c r="D109" s="122"/>
      <c r="E109" s="122"/>
      <c r="F109" s="122"/>
      <c r="G109" s="126" t="s">
        <v>156</v>
      </c>
      <c r="H109" s="123"/>
      <c r="I109" s="127">
        <v>596</v>
      </c>
      <c r="J109" s="128">
        <f t="shared" si="4"/>
        <v>190.72</v>
      </c>
      <c r="K109" s="128">
        <f t="shared" si="5"/>
        <v>405.28000000000003</v>
      </c>
      <c r="L109" s="128"/>
      <c r="M109" s="129">
        <f t="shared" si="6"/>
        <v>17521.200000000012</v>
      </c>
    </row>
    <row r="110" spans="1:13" x14ac:dyDescent="0.2">
      <c r="A110" s="10">
        <v>43158</v>
      </c>
      <c r="B110" s="184">
        <v>1086</v>
      </c>
      <c r="C110" s="122"/>
      <c r="D110" s="122"/>
      <c r="E110" s="122"/>
      <c r="F110" s="122"/>
      <c r="G110" s="126" t="s">
        <v>156</v>
      </c>
      <c r="H110" s="123"/>
      <c r="I110" s="127">
        <v>740</v>
      </c>
      <c r="J110" s="128">
        <f t="shared" si="4"/>
        <v>236.8</v>
      </c>
      <c r="K110" s="128">
        <f t="shared" si="5"/>
        <v>503.20000000000005</v>
      </c>
      <c r="L110" s="128"/>
      <c r="M110" s="129">
        <f t="shared" si="6"/>
        <v>18024.400000000012</v>
      </c>
    </row>
    <row r="111" spans="1:13" x14ac:dyDescent="0.2">
      <c r="A111" s="10">
        <v>43159</v>
      </c>
      <c r="B111" s="184">
        <v>1086</v>
      </c>
      <c r="C111" s="122"/>
      <c r="D111" s="122"/>
      <c r="E111" s="122"/>
      <c r="F111" s="122"/>
      <c r="G111" s="126" t="s">
        <v>156</v>
      </c>
      <c r="H111" s="123"/>
      <c r="I111" s="127">
        <v>1476</v>
      </c>
      <c r="J111" s="128">
        <f t="shared" si="4"/>
        <v>472.32</v>
      </c>
      <c r="K111" s="128">
        <f t="shared" si="5"/>
        <v>1003.6800000000001</v>
      </c>
      <c r="L111" s="128"/>
      <c r="M111" s="129">
        <f t="shared" si="6"/>
        <v>19028.080000000013</v>
      </c>
    </row>
    <row r="112" spans="1:13" x14ac:dyDescent="0.2">
      <c r="A112" s="10"/>
      <c r="B112" s="184"/>
      <c r="C112" s="122"/>
      <c r="D112" s="122"/>
      <c r="E112" s="122"/>
      <c r="F112" s="122"/>
      <c r="G112" s="126"/>
      <c r="H112" s="123"/>
      <c r="I112" s="127"/>
      <c r="J112" s="128">
        <f t="shared" si="4"/>
        <v>0</v>
      </c>
      <c r="K112" s="128">
        <f t="shared" si="5"/>
        <v>0</v>
      </c>
      <c r="L112" s="128"/>
      <c r="M112" s="129">
        <f t="shared" si="6"/>
        <v>19028.080000000013</v>
      </c>
    </row>
    <row r="113" spans="1:13" x14ac:dyDescent="0.2">
      <c r="A113" s="10">
        <v>43132</v>
      </c>
      <c r="B113" s="184"/>
      <c r="C113" s="122"/>
      <c r="D113" s="122"/>
      <c r="E113" s="122"/>
      <c r="F113" s="122"/>
      <c r="G113" s="126"/>
      <c r="H113" s="123"/>
      <c r="I113" s="127">
        <v>308</v>
      </c>
      <c r="J113" s="128">
        <f t="shared" si="4"/>
        <v>98.56</v>
      </c>
      <c r="K113" s="128">
        <f t="shared" si="5"/>
        <v>209.44000000000003</v>
      </c>
      <c r="L113" s="128"/>
      <c r="M113" s="129">
        <f t="shared" si="6"/>
        <v>19237.520000000011</v>
      </c>
    </row>
    <row r="114" spans="1:13" x14ac:dyDescent="0.2">
      <c r="A114" s="10">
        <v>43133</v>
      </c>
      <c r="B114" s="184"/>
      <c r="C114" s="122"/>
      <c r="D114" s="122"/>
      <c r="E114" s="122"/>
      <c r="F114" s="122"/>
      <c r="G114" s="126"/>
      <c r="H114" s="123"/>
      <c r="I114" s="127">
        <v>328</v>
      </c>
      <c r="J114" s="128">
        <f t="shared" si="4"/>
        <v>104.96000000000001</v>
      </c>
      <c r="K114" s="128">
        <f t="shared" si="5"/>
        <v>223.04000000000002</v>
      </c>
      <c r="L114" s="128"/>
      <c r="M114" s="129">
        <f t="shared" si="6"/>
        <v>19460.560000000012</v>
      </c>
    </row>
    <row r="115" spans="1:13" x14ac:dyDescent="0.2">
      <c r="A115" s="10">
        <v>43137</v>
      </c>
      <c r="B115" s="184"/>
      <c r="C115" s="122"/>
      <c r="D115" s="122"/>
      <c r="E115" s="122"/>
      <c r="F115" s="122"/>
      <c r="G115" s="126"/>
      <c r="H115" s="123"/>
      <c r="I115" s="127">
        <v>834</v>
      </c>
      <c r="J115" s="128">
        <f t="shared" si="4"/>
        <v>266.88</v>
      </c>
      <c r="K115" s="128">
        <f t="shared" si="5"/>
        <v>567.12</v>
      </c>
      <c r="L115" s="128"/>
      <c r="M115" s="129">
        <f t="shared" si="6"/>
        <v>20027.680000000011</v>
      </c>
    </row>
    <row r="116" spans="1:13" x14ac:dyDescent="0.2">
      <c r="A116" s="10">
        <v>43138</v>
      </c>
      <c r="B116" s="184"/>
      <c r="C116" s="122"/>
      <c r="D116" s="122"/>
      <c r="E116" s="122"/>
      <c r="F116" s="122"/>
      <c r="G116" s="126"/>
      <c r="H116" s="123"/>
      <c r="I116" s="127">
        <v>454</v>
      </c>
      <c r="J116" s="128">
        <f t="shared" si="4"/>
        <v>145.28</v>
      </c>
      <c r="K116" s="128">
        <f t="shared" si="5"/>
        <v>308.72000000000003</v>
      </c>
      <c r="L116" s="128"/>
      <c r="M116" s="129">
        <f t="shared" si="6"/>
        <v>20336.400000000012</v>
      </c>
    </row>
    <row r="117" spans="1:13" x14ac:dyDescent="0.2">
      <c r="A117" s="10"/>
      <c r="B117" s="184"/>
      <c r="C117" s="122"/>
      <c r="D117" s="122"/>
      <c r="E117" s="122"/>
      <c r="F117" s="122"/>
      <c r="G117" s="126"/>
      <c r="H117" s="123"/>
      <c r="I117" s="127"/>
      <c r="J117" s="128">
        <f t="shared" si="4"/>
        <v>0</v>
      </c>
      <c r="K117" s="128">
        <f t="shared" si="5"/>
        <v>0</v>
      </c>
      <c r="L117" s="128"/>
      <c r="M117" s="129">
        <f t="shared" si="6"/>
        <v>20336.400000000012</v>
      </c>
    </row>
    <row r="118" spans="1:13" x14ac:dyDescent="0.2">
      <c r="A118" s="10">
        <v>43140</v>
      </c>
      <c r="B118" s="184"/>
      <c r="C118" s="122"/>
      <c r="D118" s="122"/>
      <c r="E118" s="122"/>
      <c r="F118" s="122"/>
      <c r="G118" s="126"/>
      <c r="H118" s="123"/>
      <c r="I118" s="127">
        <v>244</v>
      </c>
      <c r="J118" s="128">
        <f t="shared" si="4"/>
        <v>78.08</v>
      </c>
      <c r="K118" s="128">
        <f t="shared" si="5"/>
        <v>165.92000000000002</v>
      </c>
      <c r="L118" s="128"/>
      <c r="M118" s="129">
        <f t="shared" si="6"/>
        <v>20502.320000000011</v>
      </c>
    </row>
    <row r="119" spans="1:13" x14ac:dyDescent="0.2">
      <c r="A119" s="10"/>
      <c r="B119" s="184"/>
      <c r="C119" s="122"/>
      <c r="D119" s="122"/>
      <c r="E119" s="122"/>
      <c r="F119" s="122"/>
      <c r="G119" s="126"/>
      <c r="H119" s="123"/>
      <c r="I119" s="127"/>
      <c r="J119" s="128">
        <f t="shared" si="4"/>
        <v>0</v>
      </c>
      <c r="K119" s="128">
        <f t="shared" si="5"/>
        <v>0</v>
      </c>
      <c r="L119" s="128"/>
      <c r="M119" s="129">
        <f t="shared" si="6"/>
        <v>20502.320000000011</v>
      </c>
    </row>
    <row r="120" spans="1:13" x14ac:dyDescent="0.2">
      <c r="A120" s="10"/>
      <c r="B120" s="184"/>
      <c r="C120" s="122"/>
      <c r="D120" s="122"/>
      <c r="E120" s="122"/>
      <c r="F120" s="122"/>
      <c r="G120" s="126"/>
      <c r="H120" s="123"/>
      <c r="I120" s="127"/>
      <c r="J120" s="128">
        <f t="shared" si="4"/>
        <v>0</v>
      </c>
      <c r="K120" s="128">
        <f t="shared" si="5"/>
        <v>0</v>
      </c>
      <c r="L120" s="128"/>
      <c r="M120" s="129">
        <f t="shared" si="6"/>
        <v>20502.320000000011</v>
      </c>
    </row>
    <row r="121" spans="1:13" x14ac:dyDescent="0.2">
      <c r="A121" s="10">
        <v>43143</v>
      </c>
      <c r="B121" s="184"/>
      <c r="C121" s="122"/>
      <c r="D121" s="122"/>
      <c r="E121" s="122"/>
      <c r="F121" s="122"/>
      <c r="G121" s="126"/>
      <c r="H121" s="123"/>
      <c r="I121" s="127">
        <v>288</v>
      </c>
      <c r="J121" s="128">
        <f t="shared" si="4"/>
        <v>92.16</v>
      </c>
      <c r="K121" s="128">
        <f t="shared" si="5"/>
        <v>195.84</v>
      </c>
      <c r="L121" s="128"/>
      <c r="M121" s="129">
        <f t="shared" si="6"/>
        <v>20698.160000000011</v>
      </c>
    </row>
    <row r="122" spans="1:13" x14ac:dyDescent="0.2">
      <c r="A122" s="10">
        <v>43144</v>
      </c>
      <c r="B122" s="184"/>
      <c r="C122" s="122"/>
      <c r="D122" s="122"/>
      <c r="E122" s="122"/>
      <c r="F122" s="122"/>
      <c r="G122" s="126"/>
      <c r="H122" s="123"/>
      <c r="I122" s="127">
        <v>144</v>
      </c>
      <c r="J122" s="128">
        <f t="shared" si="4"/>
        <v>46.08</v>
      </c>
      <c r="K122" s="128">
        <f t="shared" si="5"/>
        <v>97.92</v>
      </c>
      <c r="L122" s="128"/>
      <c r="M122" s="129">
        <f t="shared" si="6"/>
        <v>20796.080000000009</v>
      </c>
    </row>
    <row r="123" spans="1:13" x14ac:dyDescent="0.2">
      <c r="A123" s="10">
        <v>43145</v>
      </c>
      <c r="B123" s="184"/>
      <c r="C123" s="122"/>
      <c r="D123" s="122"/>
      <c r="E123" s="122"/>
      <c r="F123" s="122"/>
      <c r="G123" s="126"/>
      <c r="H123" s="123"/>
      <c r="I123" s="127">
        <v>880</v>
      </c>
      <c r="J123" s="128">
        <f t="shared" si="4"/>
        <v>281.60000000000002</v>
      </c>
      <c r="K123" s="128">
        <f t="shared" si="5"/>
        <v>598.40000000000009</v>
      </c>
      <c r="L123" s="128"/>
      <c r="M123" s="129">
        <f t="shared" si="6"/>
        <v>21394.48000000001</v>
      </c>
    </row>
    <row r="124" spans="1:13" x14ac:dyDescent="0.2">
      <c r="A124" s="10">
        <v>43146</v>
      </c>
      <c r="B124" s="184"/>
      <c r="C124" s="122"/>
      <c r="D124" s="122"/>
      <c r="E124" s="122"/>
      <c r="F124" s="122"/>
      <c r="G124" s="126"/>
      <c r="H124" s="123"/>
      <c r="I124" s="127">
        <v>200</v>
      </c>
      <c r="J124" s="128">
        <f t="shared" si="4"/>
        <v>64</v>
      </c>
      <c r="K124" s="128">
        <f t="shared" si="5"/>
        <v>136</v>
      </c>
      <c r="L124" s="128"/>
      <c r="M124" s="129">
        <f t="shared" si="6"/>
        <v>21530.48000000001</v>
      </c>
    </row>
    <row r="125" spans="1:13" x14ac:dyDescent="0.2">
      <c r="A125" s="10">
        <v>43147</v>
      </c>
      <c r="B125" s="184"/>
      <c r="C125" s="122"/>
      <c r="D125" s="122"/>
      <c r="E125" s="122"/>
      <c r="F125" s="122"/>
      <c r="G125" s="126"/>
      <c r="H125" s="123"/>
      <c r="I125" s="127">
        <v>164</v>
      </c>
      <c r="J125" s="128">
        <f t="shared" si="4"/>
        <v>52.480000000000004</v>
      </c>
      <c r="K125" s="128">
        <f t="shared" si="5"/>
        <v>111.52000000000001</v>
      </c>
      <c r="L125" s="128"/>
      <c r="M125" s="129">
        <f t="shared" si="6"/>
        <v>21642.000000000011</v>
      </c>
    </row>
    <row r="126" spans="1:13" x14ac:dyDescent="0.2">
      <c r="A126" s="10">
        <v>43148</v>
      </c>
      <c r="B126" s="184"/>
      <c r="C126" s="122"/>
      <c r="D126" s="122"/>
      <c r="E126" s="122"/>
      <c r="F126" s="122"/>
      <c r="G126" s="126"/>
      <c r="H126" s="123"/>
      <c r="I126" s="127">
        <v>144</v>
      </c>
      <c r="J126" s="128">
        <f t="shared" si="4"/>
        <v>46.08</v>
      </c>
      <c r="K126" s="128">
        <f t="shared" si="5"/>
        <v>97.92</v>
      </c>
      <c r="L126" s="128"/>
      <c r="M126" s="129">
        <f t="shared" si="6"/>
        <v>21739.920000000009</v>
      </c>
    </row>
    <row r="127" spans="1:13" x14ac:dyDescent="0.2">
      <c r="A127" s="10"/>
      <c r="B127" s="184"/>
      <c r="C127" s="122"/>
      <c r="D127" s="122"/>
      <c r="E127" s="122"/>
      <c r="F127" s="122"/>
      <c r="G127" s="126"/>
      <c r="H127" s="123"/>
      <c r="I127" s="127"/>
      <c r="J127" s="128">
        <f t="shared" si="4"/>
        <v>0</v>
      </c>
      <c r="K127" s="128">
        <f t="shared" si="5"/>
        <v>0</v>
      </c>
      <c r="L127" s="128"/>
      <c r="M127" s="129">
        <f t="shared" si="6"/>
        <v>21739.920000000009</v>
      </c>
    </row>
    <row r="128" spans="1:13" x14ac:dyDescent="0.2">
      <c r="A128" s="10">
        <v>43150</v>
      </c>
      <c r="B128" s="184"/>
      <c r="C128" s="122"/>
      <c r="D128" s="122"/>
      <c r="E128" s="122"/>
      <c r="F128" s="122"/>
      <c r="G128" s="126"/>
      <c r="H128" s="123"/>
      <c r="I128" s="127">
        <v>364</v>
      </c>
      <c r="J128" s="128">
        <f t="shared" si="4"/>
        <v>116.48</v>
      </c>
      <c r="K128" s="128">
        <f t="shared" si="5"/>
        <v>247.52</v>
      </c>
      <c r="L128" s="128"/>
      <c r="M128" s="129">
        <f t="shared" si="6"/>
        <v>21987.44000000001</v>
      </c>
    </row>
    <row r="129" spans="1:13" x14ac:dyDescent="0.2">
      <c r="A129" s="10"/>
      <c r="B129" s="184"/>
      <c r="C129" s="122"/>
      <c r="D129" s="122"/>
      <c r="E129" s="122"/>
      <c r="F129" s="122"/>
      <c r="G129" s="126"/>
      <c r="H129" s="123"/>
      <c r="I129" s="127"/>
      <c r="J129" s="128">
        <f t="shared" si="4"/>
        <v>0</v>
      </c>
      <c r="K129" s="128">
        <f t="shared" si="5"/>
        <v>0</v>
      </c>
      <c r="L129" s="128"/>
      <c r="M129" s="129">
        <f t="shared" si="6"/>
        <v>21987.44000000001</v>
      </c>
    </row>
    <row r="130" spans="1:13" x14ac:dyDescent="0.2">
      <c r="A130" s="10">
        <v>43152</v>
      </c>
      <c r="B130" s="184"/>
      <c r="C130" s="122"/>
      <c r="D130" s="122"/>
      <c r="E130" s="122"/>
      <c r="F130" s="122"/>
      <c r="G130" s="126"/>
      <c r="H130" s="123"/>
      <c r="I130" s="127">
        <v>596</v>
      </c>
      <c r="J130" s="128">
        <f t="shared" si="4"/>
        <v>190.72</v>
      </c>
      <c r="K130" s="128">
        <f t="shared" si="5"/>
        <v>405.28000000000003</v>
      </c>
      <c r="L130" s="128"/>
      <c r="M130" s="129">
        <f t="shared" si="6"/>
        <v>22392.720000000008</v>
      </c>
    </row>
    <row r="131" spans="1:13" x14ac:dyDescent="0.2">
      <c r="A131" s="10">
        <v>43153</v>
      </c>
      <c r="B131" s="184"/>
      <c r="C131" s="122"/>
      <c r="D131" s="122"/>
      <c r="E131" s="122"/>
      <c r="F131" s="122"/>
      <c r="G131" s="126"/>
      <c r="H131" s="123"/>
      <c r="I131" s="127">
        <v>144</v>
      </c>
      <c r="J131" s="128">
        <f t="shared" si="4"/>
        <v>46.08</v>
      </c>
      <c r="K131" s="128">
        <f t="shared" si="5"/>
        <v>97.92</v>
      </c>
      <c r="L131" s="128"/>
      <c r="M131" s="129">
        <f t="shared" si="6"/>
        <v>22490.640000000007</v>
      </c>
    </row>
    <row r="132" spans="1:13" x14ac:dyDescent="0.2">
      <c r="A132" s="10">
        <v>43154</v>
      </c>
      <c r="B132" s="184"/>
      <c r="C132" s="122"/>
      <c r="D132" s="122"/>
      <c r="E132" s="122"/>
      <c r="F132" s="122"/>
      <c r="G132" s="126"/>
      <c r="H132" s="123"/>
      <c r="I132" s="127">
        <v>884</v>
      </c>
      <c r="J132" s="128">
        <f t="shared" si="4"/>
        <v>282.88</v>
      </c>
      <c r="K132" s="128">
        <f t="shared" si="5"/>
        <v>601.12</v>
      </c>
      <c r="L132" s="128"/>
      <c r="M132" s="129">
        <f t="shared" si="6"/>
        <v>23091.760000000006</v>
      </c>
    </row>
    <row r="133" spans="1:13" x14ac:dyDescent="0.2">
      <c r="A133" s="10">
        <v>43155</v>
      </c>
      <c r="B133" s="184"/>
      <c r="C133" s="122"/>
      <c r="D133" s="122"/>
      <c r="E133" s="122"/>
      <c r="F133" s="122"/>
      <c r="G133" s="126"/>
      <c r="H133" s="123"/>
      <c r="I133" s="127">
        <v>144</v>
      </c>
      <c r="J133" s="128">
        <f t="shared" si="4"/>
        <v>46.08</v>
      </c>
      <c r="K133" s="128">
        <f t="shared" si="5"/>
        <v>97.92</v>
      </c>
      <c r="L133" s="128"/>
      <c r="M133" s="129">
        <f t="shared" si="6"/>
        <v>23189.680000000004</v>
      </c>
    </row>
    <row r="134" spans="1:13" x14ac:dyDescent="0.2">
      <c r="A134" s="10"/>
      <c r="B134" s="184"/>
      <c r="C134" s="122"/>
      <c r="D134" s="122"/>
      <c r="E134" s="122"/>
      <c r="F134" s="122"/>
      <c r="G134" s="126"/>
      <c r="H134" s="123"/>
      <c r="I134" s="127"/>
      <c r="J134" s="128">
        <f t="shared" si="4"/>
        <v>0</v>
      </c>
      <c r="K134" s="128">
        <f t="shared" si="5"/>
        <v>0</v>
      </c>
      <c r="L134" s="128"/>
      <c r="M134" s="129">
        <f t="shared" si="6"/>
        <v>23189.680000000004</v>
      </c>
    </row>
    <row r="135" spans="1:13" x14ac:dyDescent="0.2">
      <c r="A135" s="10">
        <v>43157</v>
      </c>
      <c r="B135" s="184"/>
      <c r="C135" s="122"/>
      <c r="D135" s="122"/>
      <c r="E135" s="122"/>
      <c r="F135" s="122"/>
      <c r="G135" s="126"/>
      <c r="H135" s="123"/>
      <c r="I135" s="127">
        <v>1038</v>
      </c>
      <c r="J135" s="128">
        <f t="shared" si="4"/>
        <v>332.16</v>
      </c>
      <c r="K135" s="128">
        <f t="shared" si="5"/>
        <v>705.84</v>
      </c>
      <c r="L135" s="128"/>
      <c r="M135" s="129">
        <f t="shared" si="6"/>
        <v>23895.520000000004</v>
      </c>
    </row>
    <row r="136" spans="1:13" x14ac:dyDescent="0.2">
      <c r="A136" s="10">
        <v>43158</v>
      </c>
      <c r="B136" s="184"/>
      <c r="C136" s="122"/>
      <c r="D136" s="122"/>
      <c r="E136" s="122"/>
      <c r="F136" s="122"/>
      <c r="G136" s="126"/>
      <c r="H136" s="123"/>
      <c r="I136" s="127">
        <v>1052</v>
      </c>
      <c r="J136" s="128">
        <f t="shared" si="4"/>
        <v>336.64</v>
      </c>
      <c r="K136" s="128">
        <f t="shared" si="5"/>
        <v>715.36</v>
      </c>
      <c r="L136" s="128"/>
      <c r="M136" s="129">
        <f t="shared" si="6"/>
        <v>24610.880000000005</v>
      </c>
    </row>
    <row r="137" spans="1:13" x14ac:dyDescent="0.2">
      <c r="A137" s="10">
        <v>43159</v>
      </c>
      <c r="B137" s="184"/>
      <c r="C137" s="122"/>
      <c r="D137" s="122"/>
      <c r="E137" s="122"/>
      <c r="F137" s="122"/>
      <c r="G137" s="126"/>
      <c r="H137" s="123"/>
      <c r="I137" s="127">
        <v>1932</v>
      </c>
      <c r="J137" s="128">
        <f t="shared" si="4"/>
        <v>618.24</v>
      </c>
      <c r="K137" s="128">
        <f t="shared" si="5"/>
        <v>1313.76</v>
      </c>
      <c r="L137" s="128"/>
      <c r="M137" s="129">
        <f t="shared" si="6"/>
        <v>25924.640000000003</v>
      </c>
    </row>
    <row r="138" spans="1:13" x14ac:dyDescent="0.2">
      <c r="A138" s="10"/>
      <c r="B138" s="184"/>
      <c r="C138" s="122"/>
      <c r="D138" s="122"/>
      <c r="E138" s="122"/>
      <c r="F138" s="122"/>
      <c r="G138" s="126"/>
      <c r="H138" s="123"/>
      <c r="I138" s="127"/>
      <c r="J138" s="128"/>
      <c r="K138" s="128"/>
      <c r="L138" s="128"/>
      <c r="M138" s="129">
        <f t="shared" si="6"/>
        <v>25924.640000000003</v>
      </c>
    </row>
    <row r="139" spans="1:13" x14ac:dyDescent="0.2">
      <c r="A139" s="10"/>
      <c r="B139" s="184"/>
      <c r="C139" s="122"/>
      <c r="D139" s="122"/>
      <c r="E139" s="122"/>
      <c r="F139" s="122"/>
      <c r="G139" s="126"/>
      <c r="H139" s="123"/>
      <c r="I139" s="127"/>
      <c r="J139" s="128"/>
      <c r="K139" s="128"/>
      <c r="L139" s="128"/>
      <c r="M139" s="129">
        <f t="shared" si="6"/>
        <v>25924.640000000003</v>
      </c>
    </row>
    <row r="140" spans="1:13" x14ac:dyDescent="0.2">
      <c r="A140" s="10"/>
      <c r="B140" s="184"/>
      <c r="C140" s="122"/>
      <c r="D140" s="122"/>
      <c r="E140" s="122"/>
      <c r="F140" s="122"/>
      <c r="G140" s="126"/>
      <c r="H140" s="123"/>
      <c r="I140" s="127"/>
      <c r="J140" s="128"/>
      <c r="K140" s="128"/>
      <c r="L140" s="128"/>
      <c r="M140" s="129">
        <f t="shared" si="6"/>
        <v>25924.640000000003</v>
      </c>
    </row>
    <row r="141" spans="1:13" x14ac:dyDescent="0.2">
      <c r="A141" s="10"/>
      <c r="B141" s="184"/>
      <c r="C141" s="122"/>
      <c r="D141" s="122"/>
      <c r="E141" s="122"/>
      <c r="F141" s="122"/>
      <c r="G141" s="126"/>
      <c r="H141" s="123"/>
      <c r="I141" s="127"/>
      <c r="J141" s="128"/>
      <c r="K141" s="128"/>
      <c r="L141" s="128"/>
      <c r="M141" s="129">
        <f t="shared" si="6"/>
        <v>25924.640000000003</v>
      </c>
    </row>
    <row r="142" spans="1:13" x14ac:dyDescent="0.2">
      <c r="A142" s="10"/>
      <c r="B142" s="11"/>
      <c r="C142" s="122"/>
      <c r="D142" s="122"/>
      <c r="E142" s="122"/>
      <c r="F142" s="122"/>
      <c r="G142" s="126"/>
      <c r="H142" s="123"/>
      <c r="I142" s="127"/>
      <c r="J142" s="128"/>
      <c r="K142" s="128"/>
      <c r="L142" s="128"/>
      <c r="M142" s="129">
        <f t="shared" si="6"/>
        <v>25924.640000000003</v>
      </c>
    </row>
    <row r="143" spans="1:13" x14ac:dyDescent="0.2">
      <c r="A143" s="10"/>
      <c r="B143" s="11"/>
      <c r="C143" s="122"/>
      <c r="D143" s="122"/>
      <c r="E143" s="122"/>
      <c r="F143" s="114"/>
      <c r="G143" s="114"/>
      <c r="H143" s="123"/>
      <c r="I143" s="135"/>
      <c r="J143" s="128"/>
      <c r="K143" s="128"/>
      <c r="L143" s="128"/>
      <c r="M143" s="129">
        <f t="shared" si="6"/>
        <v>25924.640000000003</v>
      </c>
    </row>
    <row r="144" spans="1:13" ht="15" x14ac:dyDescent="0.25">
      <c r="A144" s="533" t="s">
        <v>88</v>
      </c>
      <c r="B144" s="534"/>
      <c r="C144" s="534"/>
      <c r="D144" s="534"/>
      <c r="E144" s="534"/>
      <c r="F144" s="534"/>
      <c r="G144" s="534"/>
      <c r="H144" s="534"/>
      <c r="I144" s="534"/>
      <c r="J144" s="534"/>
      <c r="K144" s="534"/>
      <c r="L144" s="534"/>
      <c r="M144" s="129">
        <f t="shared" si="6"/>
        <v>25924.640000000003</v>
      </c>
    </row>
    <row r="145" spans="1:13" x14ac:dyDescent="0.2">
      <c r="A145" s="131"/>
      <c r="B145" s="132"/>
      <c r="C145" s="122"/>
      <c r="D145" s="122"/>
      <c r="E145" s="122"/>
      <c r="F145" s="122"/>
      <c r="G145" s="133"/>
      <c r="H145" s="123"/>
      <c r="I145" s="127"/>
      <c r="J145" s="128"/>
      <c r="K145" s="128"/>
      <c r="L145" s="128"/>
      <c r="M145" s="129">
        <f t="shared" si="6"/>
        <v>25924.640000000003</v>
      </c>
    </row>
    <row r="146" spans="1:13" x14ac:dyDescent="0.2">
      <c r="A146" s="185">
        <v>43162</v>
      </c>
      <c r="B146" s="151" t="s">
        <v>157</v>
      </c>
      <c r="C146" s="152"/>
      <c r="D146" s="186" t="s">
        <v>158</v>
      </c>
      <c r="E146" s="122"/>
      <c r="F146" s="146" t="s">
        <v>159</v>
      </c>
      <c r="G146" s="147" t="s">
        <v>160</v>
      </c>
      <c r="H146" s="148"/>
      <c r="I146" s="127"/>
      <c r="J146" s="128"/>
      <c r="K146" s="128"/>
      <c r="L146" s="149">
        <v>1700</v>
      </c>
      <c r="M146" s="129">
        <f t="shared" si="6"/>
        <v>24224.640000000003</v>
      </c>
    </row>
    <row r="147" spans="1:13" x14ac:dyDescent="0.2">
      <c r="A147" s="185"/>
      <c r="B147" s="151" t="s">
        <v>161</v>
      </c>
      <c r="C147" s="152"/>
      <c r="D147" s="186" t="s">
        <v>162</v>
      </c>
      <c r="E147" s="122"/>
      <c r="F147" s="146"/>
      <c r="G147" s="147" t="s">
        <v>163</v>
      </c>
      <c r="H147" s="148"/>
      <c r="I147" s="127"/>
      <c r="J147" s="128"/>
      <c r="K147" s="128"/>
      <c r="L147" s="149">
        <v>950</v>
      </c>
      <c r="M147" s="129">
        <f t="shared" si="6"/>
        <v>23274.640000000003</v>
      </c>
    </row>
    <row r="148" spans="1:13" x14ac:dyDescent="0.2">
      <c r="A148" s="185"/>
      <c r="B148" s="151" t="s">
        <v>164</v>
      </c>
      <c r="C148" s="152"/>
      <c r="D148" s="186" t="s">
        <v>165</v>
      </c>
      <c r="E148" s="122"/>
      <c r="F148" s="146"/>
      <c r="G148" s="147" t="s">
        <v>166</v>
      </c>
      <c r="H148" s="148"/>
      <c r="I148" s="127"/>
      <c r="J148" s="128"/>
      <c r="K148" s="128"/>
      <c r="L148" s="149">
        <v>850</v>
      </c>
      <c r="M148" s="129">
        <f t="shared" si="6"/>
        <v>22424.640000000003</v>
      </c>
    </row>
    <row r="149" spans="1:13" x14ac:dyDescent="0.2">
      <c r="A149" s="185">
        <v>43162</v>
      </c>
      <c r="B149" s="132"/>
      <c r="C149" s="122"/>
      <c r="D149" s="122"/>
      <c r="E149" s="122"/>
      <c r="F149" s="146" t="s">
        <v>167</v>
      </c>
      <c r="G149" s="147" t="s">
        <v>168</v>
      </c>
      <c r="H149" s="148"/>
      <c r="I149" s="127"/>
      <c r="J149" s="128"/>
      <c r="K149" s="128"/>
      <c r="L149" s="149">
        <v>1040</v>
      </c>
      <c r="M149" s="129">
        <f t="shared" si="6"/>
        <v>21384.640000000003</v>
      </c>
    </row>
    <row r="150" spans="1:13" x14ac:dyDescent="0.2">
      <c r="A150" s="185">
        <v>43162</v>
      </c>
      <c r="B150" s="151" t="s">
        <v>169</v>
      </c>
      <c r="C150" s="152"/>
      <c r="D150" s="186" t="s">
        <v>170</v>
      </c>
      <c r="E150" s="122"/>
      <c r="F150" s="146" t="s">
        <v>171</v>
      </c>
      <c r="G150" s="147" t="s">
        <v>172</v>
      </c>
      <c r="H150" s="148"/>
      <c r="I150" s="127"/>
      <c r="J150" s="128"/>
      <c r="K150" s="128"/>
      <c r="L150" s="149">
        <v>600</v>
      </c>
      <c r="M150" s="129">
        <f t="shared" si="6"/>
        <v>20784.640000000003</v>
      </c>
    </row>
    <row r="151" spans="1:13" s="150" customFormat="1" x14ac:dyDescent="0.2">
      <c r="A151" s="185"/>
      <c r="B151" s="132"/>
      <c r="C151" s="122"/>
      <c r="D151" s="122"/>
      <c r="E151" s="122"/>
      <c r="F151" s="146" t="s">
        <v>173</v>
      </c>
      <c r="G151" s="538" t="s">
        <v>174</v>
      </c>
      <c r="H151" s="539"/>
      <c r="I151" s="127"/>
      <c r="J151" s="128"/>
      <c r="K151" s="128"/>
      <c r="L151" s="187">
        <v>1425</v>
      </c>
      <c r="M151" s="129">
        <f t="shared" si="6"/>
        <v>19359.640000000003</v>
      </c>
    </row>
    <row r="152" spans="1:13" x14ac:dyDescent="0.2">
      <c r="A152" s="185"/>
      <c r="B152" s="151" t="s">
        <v>175</v>
      </c>
      <c r="C152" s="152"/>
      <c r="D152" s="186" t="s">
        <v>176</v>
      </c>
      <c r="E152" s="122"/>
      <c r="F152" s="122" t="s">
        <v>177</v>
      </c>
      <c r="G152" s="154" t="s">
        <v>178</v>
      </c>
      <c r="H152" s="123"/>
      <c r="I152" s="127"/>
      <c r="J152" s="128"/>
      <c r="K152" s="128"/>
      <c r="L152" s="149">
        <v>850</v>
      </c>
      <c r="M152" s="129">
        <f t="shared" si="6"/>
        <v>18509.640000000003</v>
      </c>
    </row>
    <row r="153" spans="1:13" x14ac:dyDescent="0.2">
      <c r="A153" s="185"/>
      <c r="B153" s="151" t="s">
        <v>179</v>
      </c>
      <c r="C153" s="152"/>
      <c r="D153" s="186" t="s">
        <v>180</v>
      </c>
      <c r="E153" s="122"/>
      <c r="F153" s="122"/>
      <c r="G153" s="154" t="s">
        <v>181</v>
      </c>
      <c r="H153" s="123"/>
      <c r="I153" s="127"/>
      <c r="J153" s="128"/>
      <c r="K153" s="128"/>
      <c r="L153" s="128">
        <v>950</v>
      </c>
      <c r="M153" s="129">
        <f t="shared" si="6"/>
        <v>17559.640000000003</v>
      </c>
    </row>
    <row r="154" spans="1:13" x14ac:dyDescent="0.2">
      <c r="A154" s="185"/>
      <c r="B154" s="151" t="s">
        <v>182</v>
      </c>
      <c r="C154" s="152"/>
      <c r="D154" s="186" t="s">
        <v>183</v>
      </c>
      <c r="E154" s="122"/>
      <c r="F154" s="122"/>
      <c r="G154" s="154" t="s">
        <v>184</v>
      </c>
      <c r="H154" s="154"/>
      <c r="I154" s="127"/>
      <c r="J154" s="128"/>
      <c r="K154" s="128"/>
      <c r="L154" s="128">
        <v>1700</v>
      </c>
      <c r="M154" s="129">
        <f t="shared" si="6"/>
        <v>15859.640000000003</v>
      </c>
    </row>
    <row r="155" spans="1:13" x14ac:dyDescent="0.2">
      <c r="A155" s="185"/>
      <c r="B155" s="132"/>
      <c r="C155" s="122"/>
      <c r="D155" s="122"/>
      <c r="E155" s="122"/>
      <c r="F155" s="122"/>
      <c r="G155" s="536" t="s">
        <v>150</v>
      </c>
      <c r="H155" s="537"/>
      <c r="I155" s="127"/>
      <c r="J155" s="128"/>
      <c r="K155" s="128"/>
      <c r="L155" s="128"/>
      <c r="M155" s="129">
        <f t="shared" si="6"/>
        <v>15859.640000000003</v>
      </c>
    </row>
    <row r="156" spans="1:13" x14ac:dyDescent="0.2">
      <c r="A156" s="131"/>
      <c r="B156" s="132"/>
      <c r="C156" s="122"/>
      <c r="D156" s="122"/>
      <c r="E156" s="122"/>
      <c r="F156" s="122"/>
      <c r="G156" s="126" t="s">
        <v>185</v>
      </c>
      <c r="H156" s="123"/>
      <c r="I156" s="127"/>
      <c r="J156" s="128"/>
      <c r="K156" s="128"/>
      <c r="L156" s="128">
        <v>56</v>
      </c>
      <c r="M156" s="129">
        <f t="shared" si="6"/>
        <v>15803.640000000003</v>
      </c>
    </row>
    <row r="157" spans="1:13" x14ac:dyDescent="0.2">
      <c r="A157" s="131"/>
      <c r="B157" s="132"/>
      <c r="C157" s="122"/>
      <c r="D157" s="122"/>
      <c r="E157" s="122"/>
      <c r="F157" s="122"/>
      <c r="G157" s="133"/>
      <c r="H157" s="123"/>
      <c r="I157" s="127"/>
      <c r="J157" s="128"/>
      <c r="K157" s="128"/>
      <c r="L157" s="128"/>
      <c r="M157" s="129">
        <f t="shared" si="6"/>
        <v>15803.640000000003</v>
      </c>
    </row>
    <row r="158" spans="1:13" ht="13.5" thickBot="1" x14ac:dyDescent="0.25">
      <c r="A158" s="131"/>
      <c r="B158" s="132"/>
      <c r="C158" s="122"/>
      <c r="D158" s="122"/>
      <c r="E158" s="122"/>
      <c r="F158" s="122"/>
      <c r="G158" s="133"/>
      <c r="H158" s="123"/>
      <c r="I158" s="127"/>
      <c r="J158" s="128"/>
      <c r="K158" s="128"/>
      <c r="L158" s="128"/>
      <c r="M158" s="129"/>
    </row>
    <row r="159" spans="1:13" ht="13.5" thickBot="1" x14ac:dyDescent="0.25">
      <c r="A159" s="115"/>
      <c r="B159" s="116"/>
      <c r="C159" s="117"/>
      <c r="D159" s="117"/>
      <c r="E159" s="157"/>
      <c r="F159" s="158"/>
      <c r="G159" s="159"/>
      <c r="H159" s="160" t="s">
        <v>186</v>
      </c>
      <c r="I159" s="161">
        <f>SUM(I94:I158)</f>
        <v>20433</v>
      </c>
      <c r="J159" s="162">
        <f>SUM(J93:J158)</f>
        <v>6538.5599999999995</v>
      </c>
      <c r="K159" s="163">
        <f>SUM(K93:K158)</f>
        <v>13894.440000000002</v>
      </c>
      <c r="L159" s="164">
        <f>SUM(L145:L158)</f>
        <v>10121</v>
      </c>
      <c r="M159" s="165"/>
    </row>
    <row r="160" spans="1:13" ht="13.5" thickBot="1" x14ac:dyDescent="0.25">
      <c r="A160" s="166"/>
      <c r="C160" s="168"/>
      <c r="D160" s="168"/>
      <c r="E160" s="169"/>
      <c r="F160" s="170"/>
      <c r="G160" s="171"/>
      <c r="H160" s="160" t="s">
        <v>13</v>
      </c>
      <c r="I160" s="172"/>
      <c r="J160" s="173"/>
      <c r="K160" s="174"/>
      <c r="L160" s="174"/>
      <c r="M160" s="175">
        <f>+K159-L159+M93</f>
        <v>15803.640000000014</v>
      </c>
    </row>
    <row r="161" spans="1:13" x14ac:dyDescent="0.2">
      <c r="A161" s="166"/>
      <c r="C161" s="168"/>
      <c r="D161" s="168"/>
      <c r="E161" s="169"/>
      <c r="F161" s="170"/>
      <c r="G161" s="171"/>
      <c r="H161" s="171"/>
      <c r="I161" s="171"/>
      <c r="J161" s="188"/>
      <c r="K161" s="180"/>
      <c r="L161" s="180"/>
      <c r="M161" s="189"/>
    </row>
    <row r="162" spans="1:13" x14ac:dyDescent="0.2">
      <c r="A162" s="166"/>
      <c r="C162" s="168"/>
      <c r="D162" s="168"/>
      <c r="E162" s="169"/>
      <c r="F162" s="170"/>
      <c r="G162" s="171"/>
      <c r="H162" s="171"/>
      <c r="I162" s="171"/>
      <c r="J162" s="188"/>
      <c r="K162" s="180"/>
      <c r="L162" s="180"/>
      <c r="M162" s="189"/>
    </row>
    <row r="163" spans="1:13" x14ac:dyDescent="0.2">
      <c r="A163" s="527" t="s">
        <v>95</v>
      </c>
      <c r="B163" s="528"/>
      <c r="C163" s="528"/>
      <c r="D163" s="528"/>
      <c r="E163" s="528"/>
      <c r="F163" s="528"/>
      <c r="G163" s="528"/>
      <c r="H163" s="528"/>
      <c r="I163" s="528"/>
      <c r="J163" s="528"/>
      <c r="K163" s="528"/>
      <c r="L163" s="528"/>
      <c r="M163" s="529"/>
    </row>
    <row r="164" spans="1:13" x14ac:dyDescent="0.2">
      <c r="A164" s="530"/>
      <c r="B164" s="531"/>
      <c r="C164" s="531"/>
      <c r="D164" s="531"/>
      <c r="E164" s="531"/>
      <c r="F164" s="531"/>
      <c r="G164" s="531"/>
      <c r="H164" s="531"/>
      <c r="I164" s="531"/>
      <c r="J164" s="531"/>
      <c r="K164" s="531"/>
      <c r="L164" s="531"/>
      <c r="M164" s="532"/>
    </row>
    <row r="165" spans="1:13" ht="15" x14ac:dyDescent="0.25">
      <c r="A165" s="533" t="s">
        <v>187</v>
      </c>
      <c r="B165" s="534"/>
      <c r="C165" s="534"/>
      <c r="D165" s="534"/>
      <c r="E165" s="534"/>
      <c r="F165" s="534"/>
      <c r="G165" s="534"/>
      <c r="H165" s="534"/>
      <c r="I165" s="534"/>
      <c r="J165" s="534"/>
      <c r="K165" s="534"/>
      <c r="L165" s="534"/>
      <c r="M165" s="534"/>
    </row>
    <row r="166" spans="1:13" x14ac:dyDescent="0.2">
      <c r="A166" s="115" t="s">
        <v>1</v>
      </c>
      <c r="B166" s="116" t="s">
        <v>2</v>
      </c>
      <c r="C166" s="117" t="s">
        <v>3</v>
      </c>
      <c r="D166" s="117" t="s">
        <v>4</v>
      </c>
      <c r="E166" s="117" t="s">
        <v>96</v>
      </c>
      <c r="F166" s="117" t="s">
        <v>5</v>
      </c>
      <c r="G166" s="118" t="s">
        <v>97</v>
      </c>
      <c r="H166" s="118" t="s">
        <v>6</v>
      </c>
      <c r="I166" s="117" t="s">
        <v>7</v>
      </c>
      <c r="J166" s="117" t="s">
        <v>8</v>
      </c>
      <c r="K166" s="117" t="s">
        <v>9</v>
      </c>
      <c r="L166" s="119" t="s">
        <v>10</v>
      </c>
      <c r="M166" s="117" t="s">
        <v>11</v>
      </c>
    </row>
    <row r="167" spans="1:13" x14ac:dyDescent="0.2">
      <c r="A167" s="120"/>
      <c r="B167" s="121"/>
      <c r="C167" s="122"/>
      <c r="D167" s="122"/>
      <c r="E167" s="122"/>
      <c r="F167" s="122"/>
      <c r="G167" s="101"/>
      <c r="H167" s="123"/>
      <c r="I167" s="124"/>
      <c r="J167" s="125"/>
      <c r="K167" s="125"/>
      <c r="L167" s="125"/>
      <c r="M167" s="124">
        <f>+M160</f>
        <v>15803.640000000014</v>
      </c>
    </row>
    <row r="168" spans="1:13" ht="14.25" x14ac:dyDescent="0.2">
      <c r="A168" s="14">
        <v>43160</v>
      </c>
      <c r="B168" s="111">
        <v>1278</v>
      </c>
      <c r="C168" s="122"/>
      <c r="D168" s="122"/>
      <c r="E168" s="122"/>
      <c r="F168" s="122"/>
      <c r="G168" s="126" t="s">
        <v>188</v>
      </c>
      <c r="H168" s="123"/>
      <c r="I168" s="190">
        <v>328</v>
      </c>
      <c r="J168" s="182">
        <f>+I168*0.32</f>
        <v>104.96000000000001</v>
      </c>
      <c r="K168" s="182">
        <f>+I168*0.68</f>
        <v>223.04000000000002</v>
      </c>
      <c r="L168" s="128"/>
      <c r="M168" s="129">
        <f>+K168-L168+M167</f>
        <v>16026.680000000015</v>
      </c>
    </row>
    <row r="169" spans="1:13" ht="14.25" x14ac:dyDescent="0.2">
      <c r="A169" s="14">
        <v>43161</v>
      </c>
      <c r="B169" s="111">
        <v>1278</v>
      </c>
      <c r="C169" s="122"/>
      <c r="D169" s="122"/>
      <c r="E169" s="122"/>
      <c r="F169" s="122"/>
      <c r="G169" s="126" t="s">
        <v>188</v>
      </c>
      <c r="H169" s="123"/>
      <c r="I169" s="190">
        <v>144</v>
      </c>
      <c r="J169" s="182">
        <f t="shared" ref="J169:J206" si="7">+I169*0.32</f>
        <v>46.08</v>
      </c>
      <c r="K169" s="182">
        <f t="shared" ref="K169:K206" si="8">+I169*0.68</f>
        <v>97.92</v>
      </c>
      <c r="L169" s="128"/>
      <c r="M169" s="129">
        <f>+K169-L169+M168</f>
        <v>16124.600000000015</v>
      </c>
    </row>
    <row r="170" spans="1:13" ht="14.25" x14ac:dyDescent="0.2">
      <c r="A170" s="14">
        <v>43164</v>
      </c>
      <c r="B170" s="111">
        <v>1278</v>
      </c>
      <c r="C170" s="122"/>
      <c r="D170" s="122"/>
      <c r="E170" s="183"/>
      <c r="F170" s="183"/>
      <c r="G170" s="126" t="s">
        <v>188</v>
      </c>
      <c r="H170" s="123"/>
      <c r="I170" s="191">
        <v>710</v>
      </c>
      <c r="J170" s="182">
        <f t="shared" si="7"/>
        <v>227.20000000000002</v>
      </c>
      <c r="K170" s="182">
        <f t="shared" si="8"/>
        <v>482.8</v>
      </c>
      <c r="L170" s="128"/>
      <c r="M170" s="129">
        <f>+K170-L170+M169</f>
        <v>16607.400000000016</v>
      </c>
    </row>
    <row r="171" spans="1:13" ht="14.25" x14ac:dyDescent="0.2">
      <c r="A171" s="14">
        <v>43165</v>
      </c>
      <c r="B171" s="111">
        <v>1278</v>
      </c>
      <c r="C171" s="122"/>
      <c r="D171" s="122"/>
      <c r="E171" s="122"/>
      <c r="F171" s="122"/>
      <c r="G171" s="126" t="s">
        <v>188</v>
      </c>
      <c r="H171" s="123"/>
      <c r="I171" s="191">
        <v>20</v>
      </c>
      <c r="J171" s="182">
        <f t="shared" si="7"/>
        <v>6.4</v>
      </c>
      <c r="K171" s="182">
        <f t="shared" si="8"/>
        <v>13.600000000000001</v>
      </c>
      <c r="L171" s="128"/>
      <c r="M171" s="129">
        <f t="shared" ref="M171:M216" si="9">+K171-L171+M170</f>
        <v>16621.000000000015</v>
      </c>
    </row>
    <row r="172" spans="1:13" ht="14.25" x14ac:dyDescent="0.2">
      <c r="A172" s="14">
        <v>43166</v>
      </c>
      <c r="B172" s="111">
        <v>1278</v>
      </c>
      <c r="C172" s="122"/>
      <c r="D172" s="122"/>
      <c r="E172" s="122"/>
      <c r="F172" s="122"/>
      <c r="G172" s="126" t="s">
        <v>188</v>
      </c>
      <c r="H172" s="123"/>
      <c r="I172" s="191">
        <v>358</v>
      </c>
      <c r="J172" s="182">
        <f t="shared" si="7"/>
        <v>114.56</v>
      </c>
      <c r="K172" s="182">
        <f t="shared" si="8"/>
        <v>243.44000000000003</v>
      </c>
      <c r="L172" s="128"/>
      <c r="M172" s="129">
        <f t="shared" si="9"/>
        <v>16864.440000000013</v>
      </c>
    </row>
    <row r="173" spans="1:13" ht="14.25" x14ac:dyDescent="0.2">
      <c r="A173" s="14">
        <v>43168</v>
      </c>
      <c r="B173" s="111">
        <v>1278</v>
      </c>
      <c r="C173" s="122"/>
      <c r="D173" s="122"/>
      <c r="E173" s="122"/>
      <c r="F173" s="122"/>
      <c r="G173" s="126" t="s">
        <v>188</v>
      </c>
      <c r="H173" s="123"/>
      <c r="I173" s="191">
        <v>184</v>
      </c>
      <c r="J173" s="182">
        <f t="shared" si="7"/>
        <v>58.88</v>
      </c>
      <c r="K173" s="182">
        <f t="shared" si="8"/>
        <v>125.12</v>
      </c>
      <c r="L173" s="128"/>
      <c r="M173" s="129">
        <f t="shared" si="9"/>
        <v>16989.560000000012</v>
      </c>
    </row>
    <row r="174" spans="1:13" ht="14.25" x14ac:dyDescent="0.2">
      <c r="A174" s="14">
        <v>43172</v>
      </c>
      <c r="B174" s="111">
        <v>1278</v>
      </c>
      <c r="C174" s="122"/>
      <c r="D174" s="122"/>
      <c r="E174" s="122"/>
      <c r="F174" s="122"/>
      <c r="G174" s="126" t="s">
        <v>188</v>
      </c>
      <c r="H174" s="123"/>
      <c r="I174" s="191">
        <v>434</v>
      </c>
      <c r="J174" s="182">
        <f t="shared" si="7"/>
        <v>138.88</v>
      </c>
      <c r="K174" s="182">
        <f t="shared" si="8"/>
        <v>295.12</v>
      </c>
      <c r="L174" s="128"/>
      <c r="M174" s="129">
        <f t="shared" si="9"/>
        <v>17284.680000000011</v>
      </c>
    </row>
    <row r="175" spans="1:13" ht="14.25" x14ac:dyDescent="0.2">
      <c r="A175" s="192">
        <v>43173</v>
      </c>
      <c r="B175" s="111">
        <v>1605</v>
      </c>
      <c r="C175" s="193" t="s">
        <v>189</v>
      </c>
      <c r="D175" s="122"/>
      <c r="E175" s="122"/>
      <c r="F175" s="122"/>
      <c r="G175" s="193" t="s">
        <v>190</v>
      </c>
      <c r="H175" s="123"/>
      <c r="I175" s="194">
        <v>288</v>
      </c>
      <c r="J175" s="182">
        <f t="shared" si="7"/>
        <v>92.16</v>
      </c>
      <c r="K175" s="182">
        <f t="shared" si="8"/>
        <v>195.84</v>
      </c>
      <c r="L175" s="128"/>
      <c r="M175" s="129">
        <f t="shared" si="9"/>
        <v>17480.520000000011</v>
      </c>
    </row>
    <row r="176" spans="1:13" ht="14.25" x14ac:dyDescent="0.2">
      <c r="A176" s="192">
        <v>43174</v>
      </c>
      <c r="B176" s="111">
        <v>1605</v>
      </c>
      <c r="C176" s="193"/>
      <c r="D176" s="122"/>
      <c r="E176" s="122"/>
      <c r="F176" s="122"/>
      <c r="G176" s="193" t="s">
        <v>190</v>
      </c>
      <c r="H176" s="123"/>
      <c r="I176" s="194">
        <v>616</v>
      </c>
      <c r="J176" s="182">
        <f t="shared" si="7"/>
        <v>197.12</v>
      </c>
      <c r="K176" s="182">
        <f t="shared" si="8"/>
        <v>418.88000000000005</v>
      </c>
      <c r="L176" s="128"/>
      <c r="M176" s="129">
        <f t="shared" si="9"/>
        <v>17899.400000000012</v>
      </c>
    </row>
    <row r="177" spans="1:13" ht="14.25" x14ac:dyDescent="0.2">
      <c r="A177" s="192">
        <v>43176</v>
      </c>
      <c r="B177" s="111">
        <v>1605</v>
      </c>
      <c r="C177" s="193"/>
      <c r="D177" s="135"/>
      <c r="E177" s="122"/>
      <c r="F177" s="122"/>
      <c r="G177" s="193" t="s">
        <v>190</v>
      </c>
      <c r="H177" s="136"/>
      <c r="I177" s="194">
        <v>0</v>
      </c>
      <c r="J177" s="182">
        <f t="shared" si="7"/>
        <v>0</v>
      </c>
      <c r="K177" s="182">
        <f t="shared" si="8"/>
        <v>0</v>
      </c>
      <c r="L177" s="128"/>
      <c r="M177" s="129">
        <f t="shared" si="9"/>
        <v>17899.400000000012</v>
      </c>
    </row>
    <row r="178" spans="1:13" ht="14.25" x14ac:dyDescent="0.2">
      <c r="A178" s="192">
        <v>43178</v>
      </c>
      <c r="B178" s="111">
        <v>1605</v>
      </c>
      <c r="C178" s="193"/>
      <c r="D178" s="135"/>
      <c r="E178" s="122"/>
      <c r="F178" s="122"/>
      <c r="G178" s="193" t="s">
        <v>190</v>
      </c>
      <c r="H178" s="136"/>
      <c r="I178" s="194">
        <v>398</v>
      </c>
      <c r="J178" s="182">
        <f t="shared" si="7"/>
        <v>127.36</v>
      </c>
      <c r="K178" s="182">
        <f t="shared" si="8"/>
        <v>270.64000000000004</v>
      </c>
      <c r="L178" s="128"/>
      <c r="M178" s="129">
        <f>+K178-L178+M177</f>
        <v>18170.040000000012</v>
      </c>
    </row>
    <row r="179" spans="1:13" ht="14.25" x14ac:dyDescent="0.2">
      <c r="A179" s="192">
        <v>43179</v>
      </c>
      <c r="B179" s="111">
        <v>1605</v>
      </c>
      <c r="C179" s="193"/>
      <c r="D179" s="135"/>
      <c r="E179" s="122"/>
      <c r="F179" s="122"/>
      <c r="G179" s="193" t="s">
        <v>190</v>
      </c>
      <c r="H179" s="136"/>
      <c r="I179" s="194">
        <v>472</v>
      </c>
      <c r="J179" s="182">
        <f t="shared" si="7"/>
        <v>151.04</v>
      </c>
      <c r="K179" s="182">
        <f t="shared" si="8"/>
        <v>320.96000000000004</v>
      </c>
      <c r="L179" s="128"/>
      <c r="M179" s="129">
        <f t="shared" si="9"/>
        <v>18491.000000000011</v>
      </c>
    </row>
    <row r="180" spans="1:13" ht="14.25" x14ac:dyDescent="0.2">
      <c r="A180" s="192">
        <v>43180</v>
      </c>
      <c r="B180" s="111">
        <v>1605</v>
      </c>
      <c r="C180" s="193"/>
      <c r="D180" s="135"/>
      <c r="E180" s="122"/>
      <c r="F180" s="122"/>
      <c r="G180" s="193" t="s">
        <v>190</v>
      </c>
      <c r="H180" s="136"/>
      <c r="I180" s="194">
        <v>650</v>
      </c>
      <c r="J180" s="182">
        <f t="shared" si="7"/>
        <v>208</v>
      </c>
      <c r="K180" s="182">
        <f t="shared" si="8"/>
        <v>442.00000000000006</v>
      </c>
      <c r="L180" s="128"/>
      <c r="M180" s="129">
        <f t="shared" si="9"/>
        <v>18933.000000000011</v>
      </c>
    </row>
    <row r="181" spans="1:13" ht="14.25" x14ac:dyDescent="0.2">
      <c r="A181" s="192">
        <v>43181</v>
      </c>
      <c r="B181" s="111">
        <v>1605</v>
      </c>
      <c r="C181" s="193"/>
      <c r="D181" s="122"/>
      <c r="E181" s="122"/>
      <c r="F181" s="122"/>
      <c r="G181" s="193" t="s">
        <v>190</v>
      </c>
      <c r="H181" s="123"/>
      <c r="I181" s="194">
        <v>144</v>
      </c>
      <c r="J181" s="182">
        <f t="shared" si="7"/>
        <v>46.08</v>
      </c>
      <c r="K181" s="182">
        <f t="shared" si="8"/>
        <v>97.92</v>
      </c>
      <c r="L181" s="128"/>
      <c r="M181" s="129">
        <f t="shared" si="9"/>
        <v>19030.920000000009</v>
      </c>
    </row>
    <row r="182" spans="1:13" ht="14.25" x14ac:dyDescent="0.2">
      <c r="A182" s="192">
        <v>43182</v>
      </c>
      <c r="B182" s="111">
        <v>1605</v>
      </c>
      <c r="C182" s="193"/>
      <c r="D182" s="122"/>
      <c r="E182" s="122"/>
      <c r="F182" s="122"/>
      <c r="G182" s="193" t="s">
        <v>190</v>
      </c>
      <c r="H182" s="123"/>
      <c r="I182" s="194">
        <v>328</v>
      </c>
      <c r="J182" s="182">
        <f t="shared" si="7"/>
        <v>104.96000000000001</v>
      </c>
      <c r="K182" s="182">
        <f t="shared" si="8"/>
        <v>223.04000000000002</v>
      </c>
      <c r="L182" s="128"/>
      <c r="M182" s="129">
        <f t="shared" si="9"/>
        <v>19253.96000000001</v>
      </c>
    </row>
    <row r="183" spans="1:13" ht="14.25" x14ac:dyDescent="0.2">
      <c r="A183" s="192">
        <v>43185</v>
      </c>
      <c r="B183" s="111">
        <v>1759</v>
      </c>
      <c r="C183" s="193"/>
      <c r="D183" s="122"/>
      <c r="E183" s="122"/>
      <c r="F183" s="122"/>
      <c r="G183" s="193" t="s">
        <v>191</v>
      </c>
      <c r="H183" s="123"/>
      <c r="I183" s="191">
        <v>138</v>
      </c>
      <c r="J183" s="182">
        <f t="shared" si="7"/>
        <v>44.160000000000004</v>
      </c>
      <c r="K183" s="182">
        <f t="shared" si="8"/>
        <v>93.84</v>
      </c>
      <c r="L183" s="128"/>
      <c r="M183" s="129">
        <f t="shared" si="9"/>
        <v>19347.80000000001</v>
      </c>
    </row>
    <row r="184" spans="1:13" ht="14.25" x14ac:dyDescent="0.2">
      <c r="A184" s="192">
        <v>43186</v>
      </c>
      <c r="B184" s="111">
        <v>1759</v>
      </c>
      <c r="C184" s="193"/>
      <c r="D184" s="122"/>
      <c r="E184" s="122"/>
      <c r="F184" s="122"/>
      <c r="G184" s="193" t="s">
        <v>191</v>
      </c>
      <c r="H184" s="123"/>
      <c r="I184" s="191">
        <v>472</v>
      </c>
      <c r="J184" s="182">
        <f t="shared" si="7"/>
        <v>151.04</v>
      </c>
      <c r="K184" s="182">
        <f t="shared" si="8"/>
        <v>320.96000000000004</v>
      </c>
      <c r="L184" s="128"/>
      <c r="M184" s="129">
        <f t="shared" si="9"/>
        <v>19668.760000000009</v>
      </c>
    </row>
    <row r="185" spans="1:13" ht="14.25" x14ac:dyDescent="0.2">
      <c r="A185" s="192">
        <v>43187</v>
      </c>
      <c r="B185" s="111">
        <v>1759</v>
      </c>
      <c r="C185" s="193"/>
      <c r="D185" s="122"/>
      <c r="E185" s="122"/>
      <c r="F185" s="122"/>
      <c r="G185" s="193" t="s">
        <v>191</v>
      </c>
      <c r="H185" s="123"/>
      <c r="I185" s="191">
        <v>626</v>
      </c>
      <c r="J185" s="182">
        <f t="shared" si="7"/>
        <v>200.32</v>
      </c>
      <c r="K185" s="182">
        <f t="shared" si="8"/>
        <v>425.68</v>
      </c>
      <c r="L185" s="128"/>
      <c r="M185" s="129">
        <f t="shared" si="9"/>
        <v>20094.44000000001</v>
      </c>
    </row>
    <row r="186" spans="1:13" ht="14.25" x14ac:dyDescent="0.2">
      <c r="A186" s="192">
        <v>43190</v>
      </c>
      <c r="B186" s="111">
        <v>1759</v>
      </c>
      <c r="C186" s="193"/>
      <c r="D186" s="122"/>
      <c r="E186" s="122"/>
      <c r="F186" s="122"/>
      <c r="G186" s="193" t="s">
        <v>191</v>
      </c>
      <c r="H186" s="123"/>
      <c r="I186" s="191">
        <v>190</v>
      </c>
      <c r="J186" s="182">
        <f t="shared" si="7"/>
        <v>60.800000000000004</v>
      </c>
      <c r="K186" s="182">
        <f t="shared" si="8"/>
        <v>129.20000000000002</v>
      </c>
      <c r="L186" s="128"/>
      <c r="M186" s="129">
        <f t="shared" si="9"/>
        <v>20223.64000000001</v>
      </c>
    </row>
    <row r="187" spans="1:13" ht="14.25" x14ac:dyDescent="0.2">
      <c r="A187" s="192"/>
      <c r="B187" s="111"/>
      <c r="C187" s="193"/>
      <c r="D187" s="122"/>
      <c r="E187" s="122"/>
      <c r="F187" s="122"/>
      <c r="G187" s="193"/>
      <c r="H187" s="123"/>
      <c r="I187" s="191"/>
      <c r="J187" s="182">
        <f t="shared" si="7"/>
        <v>0</v>
      </c>
      <c r="K187" s="182">
        <f t="shared" si="8"/>
        <v>0</v>
      </c>
      <c r="L187" s="128"/>
      <c r="M187" s="129">
        <f t="shared" si="9"/>
        <v>20223.64000000001</v>
      </c>
    </row>
    <row r="188" spans="1:13" ht="14.25" x14ac:dyDescent="0.2">
      <c r="A188" s="192">
        <v>43160</v>
      </c>
      <c r="B188" s="111"/>
      <c r="C188" s="193"/>
      <c r="D188" s="122"/>
      <c r="E188" s="122"/>
      <c r="F188" s="122"/>
      <c r="G188" s="193"/>
      <c r="H188" s="123"/>
      <c r="I188" s="191">
        <v>308</v>
      </c>
      <c r="J188" s="182">
        <f t="shared" si="7"/>
        <v>98.56</v>
      </c>
      <c r="K188" s="182">
        <f t="shared" si="8"/>
        <v>209.44000000000003</v>
      </c>
      <c r="L188" s="128"/>
      <c r="M188" s="129">
        <f t="shared" si="9"/>
        <v>20433.080000000009</v>
      </c>
    </row>
    <row r="189" spans="1:13" ht="14.25" x14ac:dyDescent="0.2">
      <c r="A189" s="192">
        <v>43161</v>
      </c>
      <c r="B189" s="111"/>
      <c r="C189" s="193"/>
      <c r="D189" s="122"/>
      <c r="E189" s="122"/>
      <c r="F189" s="122"/>
      <c r="G189" s="193"/>
      <c r="H189" s="123"/>
      <c r="I189" s="191">
        <v>308</v>
      </c>
      <c r="J189" s="182">
        <f t="shared" si="7"/>
        <v>98.56</v>
      </c>
      <c r="K189" s="182">
        <f t="shared" si="8"/>
        <v>209.44000000000003</v>
      </c>
      <c r="L189" s="128"/>
      <c r="M189" s="129">
        <f t="shared" si="9"/>
        <v>20642.520000000008</v>
      </c>
    </row>
    <row r="190" spans="1:13" ht="14.25" x14ac:dyDescent="0.2">
      <c r="A190" s="192">
        <v>43162</v>
      </c>
      <c r="B190" s="111"/>
      <c r="C190" s="193"/>
      <c r="D190" s="122"/>
      <c r="E190" s="122"/>
      <c r="F190" s="122"/>
      <c r="G190" s="193"/>
      <c r="H190" s="123"/>
      <c r="I190" s="191">
        <v>144</v>
      </c>
      <c r="J190" s="182">
        <f t="shared" si="7"/>
        <v>46.08</v>
      </c>
      <c r="K190" s="182">
        <f t="shared" si="8"/>
        <v>97.92</v>
      </c>
      <c r="L190" s="128"/>
      <c r="M190" s="129">
        <f t="shared" si="9"/>
        <v>20740.440000000006</v>
      </c>
    </row>
    <row r="191" spans="1:13" ht="14.25" x14ac:dyDescent="0.2">
      <c r="A191" s="192">
        <v>43529</v>
      </c>
      <c r="B191" s="111"/>
      <c r="C191" s="193"/>
      <c r="D191" s="122"/>
      <c r="E191" s="122"/>
      <c r="F191" s="122"/>
      <c r="G191" s="193"/>
      <c r="H191" s="123"/>
      <c r="I191" s="191">
        <v>334</v>
      </c>
      <c r="J191" s="182">
        <f t="shared" si="7"/>
        <v>106.88</v>
      </c>
      <c r="K191" s="182">
        <f t="shared" si="8"/>
        <v>227.12</v>
      </c>
      <c r="L191" s="128"/>
      <c r="M191" s="129">
        <f t="shared" si="9"/>
        <v>20967.560000000005</v>
      </c>
    </row>
    <row r="192" spans="1:13" ht="14.25" x14ac:dyDescent="0.2">
      <c r="A192" s="192">
        <v>43530</v>
      </c>
      <c r="B192" s="111"/>
      <c r="C192" s="193"/>
      <c r="D192" s="122"/>
      <c r="E192" s="122"/>
      <c r="F192" s="122"/>
      <c r="G192" s="193"/>
      <c r="H192" s="123"/>
      <c r="I192" s="191">
        <v>452</v>
      </c>
      <c r="J192" s="182">
        <f t="shared" si="7"/>
        <v>144.64000000000001</v>
      </c>
      <c r="K192" s="182">
        <f t="shared" si="8"/>
        <v>307.36</v>
      </c>
      <c r="L192" s="128"/>
      <c r="M192" s="129">
        <f t="shared" si="9"/>
        <v>21274.920000000006</v>
      </c>
    </row>
    <row r="193" spans="1:13" ht="14.25" x14ac:dyDescent="0.2">
      <c r="A193" s="192">
        <v>43166</v>
      </c>
      <c r="B193" s="111"/>
      <c r="C193" s="193"/>
      <c r="D193" s="122"/>
      <c r="E193" s="122"/>
      <c r="F193" s="122"/>
      <c r="G193" s="193"/>
      <c r="H193" s="123"/>
      <c r="I193" s="191">
        <v>622</v>
      </c>
      <c r="J193" s="182">
        <f t="shared" si="7"/>
        <v>199.04</v>
      </c>
      <c r="K193" s="182">
        <f t="shared" si="8"/>
        <v>422.96000000000004</v>
      </c>
      <c r="L193" s="128"/>
      <c r="M193" s="129">
        <f t="shared" si="9"/>
        <v>21697.880000000005</v>
      </c>
    </row>
    <row r="194" spans="1:13" ht="14.25" x14ac:dyDescent="0.2">
      <c r="A194" s="192">
        <v>43167</v>
      </c>
      <c r="B194" s="111"/>
      <c r="C194" s="193"/>
      <c r="D194" s="122"/>
      <c r="E194" s="122"/>
      <c r="F194" s="122"/>
      <c r="G194" s="193"/>
      <c r="H194" s="123"/>
      <c r="I194" s="191">
        <v>452</v>
      </c>
      <c r="J194" s="182">
        <f t="shared" si="7"/>
        <v>144.64000000000001</v>
      </c>
      <c r="K194" s="182">
        <f t="shared" si="8"/>
        <v>307.36</v>
      </c>
      <c r="L194" s="128"/>
      <c r="M194" s="129">
        <f t="shared" si="9"/>
        <v>22005.240000000005</v>
      </c>
    </row>
    <row r="195" spans="1:13" ht="14.25" x14ac:dyDescent="0.2">
      <c r="A195" s="192">
        <v>43533</v>
      </c>
      <c r="B195" s="111"/>
      <c r="C195" s="193"/>
      <c r="D195" s="122"/>
      <c r="E195" s="122"/>
      <c r="F195" s="122"/>
      <c r="G195" s="193"/>
      <c r="H195" s="123"/>
      <c r="I195" s="191">
        <v>402</v>
      </c>
      <c r="J195" s="182">
        <f t="shared" si="7"/>
        <v>128.64000000000001</v>
      </c>
      <c r="K195" s="182">
        <f t="shared" si="8"/>
        <v>273.36</v>
      </c>
      <c r="L195" s="128"/>
      <c r="M195" s="129">
        <f t="shared" si="9"/>
        <v>22278.600000000006</v>
      </c>
    </row>
    <row r="196" spans="1:13" ht="14.25" x14ac:dyDescent="0.2">
      <c r="A196" s="192">
        <v>43534</v>
      </c>
      <c r="B196" s="111"/>
      <c r="C196" s="193"/>
      <c r="D196" s="122"/>
      <c r="E196" s="122"/>
      <c r="F196" s="122"/>
      <c r="G196" s="193"/>
      <c r="H196" s="123"/>
      <c r="I196" s="191">
        <v>300</v>
      </c>
      <c r="J196" s="182">
        <f t="shared" si="7"/>
        <v>96</v>
      </c>
      <c r="K196" s="182">
        <f t="shared" si="8"/>
        <v>204.00000000000003</v>
      </c>
      <c r="L196" s="128"/>
      <c r="M196" s="129">
        <f t="shared" si="9"/>
        <v>22482.600000000006</v>
      </c>
    </row>
    <row r="197" spans="1:13" ht="14.25" x14ac:dyDescent="0.2">
      <c r="A197" s="192">
        <v>43171</v>
      </c>
      <c r="B197" s="111"/>
      <c r="C197" s="193"/>
      <c r="D197" s="122"/>
      <c r="E197" s="122"/>
      <c r="F197" s="122"/>
      <c r="G197" s="193"/>
      <c r="H197" s="123"/>
      <c r="I197" s="191">
        <v>288</v>
      </c>
      <c r="J197" s="182">
        <f t="shared" si="7"/>
        <v>92.16</v>
      </c>
      <c r="K197" s="182">
        <f t="shared" si="8"/>
        <v>195.84</v>
      </c>
      <c r="L197" s="128"/>
      <c r="M197" s="129">
        <f t="shared" si="9"/>
        <v>22678.440000000006</v>
      </c>
    </row>
    <row r="198" spans="1:13" ht="14.25" x14ac:dyDescent="0.2">
      <c r="A198" s="192">
        <v>43537</v>
      </c>
      <c r="B198" s="111"/>
      <c r="C198" s="193"/>
      <c r="D198" s="122"/>
      <c r="E198" s="122"/>
      <c r="F198" s="122"/>
      <c r="G198" s="193"/>
      <c r="H198" s="123"/>
      <c r="I198" s="191">
        <v>308</v>
      </c>
      <c r="J198" s="182">
        <f t="shared" si="7"/>
        <v>98.56</v>
      </c>
      <c r="K198" s="182">
        <f t="shared" si="8"/>
        <v>209.44000000000003</v>
      </c>
      <c r="L198" s="128"/>
      <c r="M198" s="129">
        <f t="shared" si="9"/>
        <v>22887.880000000005</v>
      </c>
    </row>
    <row r="199" spans="1:13" ht="14.25" x14ac:dyDescent="0.2">
      <c r="A199" s="192">
        <v>43173</v>
      </c>
      <c r="B199" s="111"/>
      <c r="C199" s="193"/>
      <c r="D199" s="122"/>
      <c r="E199" s="122"/>
      <c r="F199" s="122"/>
      <c r="G199" s="193"/>
      <c r="H199" s="123"/>
      <c r="I199" s="191">
        <v>724</v>
      </c>
      <c r="J199" s="182">
        <f t="shared" si="7"/>
        <v>231.68</v>
      </c>
      <c r="K199" s="182">
        <f t="shared" si="8"/>
        <v>492.32000000000005</v>
      </c>
      <c r="L199" s="128"/>
      <c r="M199" s="129">
        <f t="shared" si="9"/>
        <v>23380.200000000004</v>
      </c>
    </row>
    <row r="200" spans="1:13" ht="14.25" x14ac:dyDescent="0.2">
      <c r="A200" s="192">
        <v>43539</v>
      </c>
      <c r="B200" s="111"/>
      <c r="C200" s="193"/>
      <c r="D200" s="122"/>
      <c r="E200" s="122"/>
      <c r="F200" s="122"/>
      <c r="G200" s="193"/>
      <c r="H200" s="123"/>
      <c r="I200" s="191">
        <v>308</v>
      </c>
      <c r="J200" s="182">
        <f t="shared" si="7"/>
        <v>98.56</v>
      </c>
      <c r="K200" s="182">
        <f t="shared" si="8"/>
        <v>209.44000000000003</v>
      </c>
      <c r="L200" s="128"/>
      <c r="M200" s="129">
        <f t="shared" si="9"/>
        <v>23589.640000000003</v>
      </c>
    </row>
    <row r="201" spans="1:13" ht="14.25" x14ac:dyDescent="0.2">
      <c r="A201" s="192">
        <v>43543</v>
      </c>
      <c r="B201" s="111"/>
      <c r="C201" s="193"/>
      <c r="D201" s="122"/>
      <c r="E201" s="122"/>
      <c r="F201" s="122"/>
      <c r="G201" s="193"/>
      <c r="H201" s="123"/>
      <c r="I201" s="191">
        <v>566</v>
      </c>
      <c r="J201" s="182">
        <f t="shared" si="7"/>
        <v>181.12</v>
      </c>
      <c r="K201" s="182">
        <f t="shared" si="8"/>
        <v>384.88000000000005</v>
      </c>
      <c r="L201" s="128"/>
      <c r="M201" s="129">
        <f t="shared" si="9"/>
        <v>23974.520000000004</v>
      </c>
    </row>
    <row r="202" spans="1:13" ht="14.25" x14ac:dyDescent="0.2">
      <c r="A202" s="192">
        <v>43179</v>
      </c>
      <c r="B202" s="111"/>
      <c r="C202" s="193"/>
      <c r="D202" s="122"/>
      <c r="E202" s="122"/>
      <c r="F202" s="122"/>
      <c r="G202" s="193"/>
      <c r="H202" s="123"/>
      <c r="I202" s="191">
        <v>816</v>
      </c>
      <c r="J202" s="182">
        <f t="shared" si="7"/>
        <v>261.12</v>
      </c>
      <c r="K202" s="182">
        <f t="shared" si="8"/>
        <v>554.88</v>
      </c>
      <c r="L202" s="128"/>
      <c r="M202" s="129">
        <f t="shared" si="9"/>
        <v>24529.400000000005</v>
      </c>
    </row>
    <row r="203" spans="1:13" ht="14.25" x14ac:dyDescent="0.2">
      <c r="A203" s="192">
        <v>43545</v>
      </c>
      <c r="B203" s="111"/>
      <c r="C203" s="193"/>
      <c r="D203" s="122"/>
      <c r="E203" s="122"/>
      <c r="F203" s="122"/>
      <c r="G203" s="193"/>
      <c r="H203" s="123"/>
      <c r="I203" s="191">
        <v>518</v>
      </c>
      <c r="J203" s="182">
        <f t="shared" si="7"/>
        <v>165.76</v>
      </c>
      <c r="K203" s="182">
        <f t="shared" si="8"/>
        <v>352.24</v>
      </c>
      <c r="L203" s="128"/>
      <c r="M203" s="129">
        <f t="shared" si="9"/>
        <v>24881.640000000007</v>
      </c>
    </row>
    <row r="204" spans="1:13" ht="14.25" x14ac:dyDescent="0.2">
      <c r="A204" s="192">
        <v>43547</v>
      </c>
      <c r="B204" s="111"/>
      <c r="C204" s="193"/>
      <c r="D204" s="122"/>
      <c r="E204" s="122"/>
      <c r="F204" s="122"/>
      <c r="G204" s="193"/>
      <c r="H204" s="123"/>
      <c r="I204" s="191">
        <v>492</v>
      </c>
      <c r="J204" s="182">
        <f t="shared" si="7"/>
        <v>157.44</v>
      </c>
      <c r="K204" s="182">
        <f t="shared" si="8"/>
        <v>334.56</v>
      </c>
      <c r="L204" s="128"/>
      <c r="M204" s="129">
        <f t="shared" si="9"/>
        <v>25216.200000000008</v>
      </c>
    </row>
    <row r="205" spans="1:13" ht="14.25" x14ac:dyDescent="0.2">
      <c r="A205" s="192">
        <v>43551</v>
      </c>
      <c r="B205" s="111"/>
      <c r="C205" s="193"/>
      <c r="D205" s="122"/>
      <c r="E205" s="122"/>
      <c r="F205" s="122"/>
      <c r="G205" s="193"/>
      <c r="H205" s="123"/>
      <c r="I205" s="191">
        <v>472</v>
      </c>
      <c r="J205" s="182">
        <f t="shared" si="7"/>
        <v>151.04</v>
      </c>
      <c r="K205" s="182">
        <f t="shared" si="8"/>
        <v>320.96000000000004</v>
      </c>
      <c r="L205" s="128"/>
      <c r="M205" s="129">
        <f t="shared" si="9"/>
        <v>25537.160000000007</v>
      </c>
    </row>
    <row r="206" spans="1:13" ht="14.25" x14ac:dyDescent="0.2">
      <c r="A206" s="192">
        <v>43552</v>
      </c>
      <c r="B206" s="111"/>
      <c r="C206" s="193"/>
      <c r="D206" s="122"/>
      <c r="E206" s="122"/>
      <c r="F206" s="122"/>
      <c r="G206" s="193"/>
      <c r="H206" s="123"/>
      <c r="I206" s="191">
        <v>164</v>
      </c>
      <c r="J206" s="182">
        <f t="shared" si="7"/>
        <v>52.480000000000004</v>
      </c>
      <c r="K206" s="182">
        <f t="shared" si="8"/>
        <v>111.52000000000001</v>
      </c>
      <c r="L206" s="128"/>
      <c r="M206" s="129">
        <f t="shared" si="9"/>
        <v>25648.680000000008</v>
      </c>
    </row>
    <row r="207" spans="1:13" ht="14.25" x14ac:dyDescent="0.2">
      <c r="A207" s="192"/>
      <c r="B207" s="111"/>
      <c r="C207" s="193"/>
      <c r="D207" s="122"/>
      <c r="E207" s="122"/>
      <c r="F207" s="122"/>
      <c r="G207" s="193"/>
      <c r="H207" s="123"/>
      <c r="I207" s="191"/>
      <c r="J207" s="182"/>
      <c r="K207" s="182"/>
      <c r="L207" s="128"/>
      <c r="M207" s="129">
        <f t="shared" si="9"/>
        <v>25648.680000000008</v>
      </c>
    </row>
    <row r="208" spans="1:13" ht="14.25" x14ac:dyDescent="0.2">
      <c r="A208" s="192"/>
      <c r="B208" s="111"/>
      <c r="C208" s="193"/>
      <c r="D208" s="122"/>
      <c r="E208" s="122"/>
      <c r="F208" s="122"/>
      <c r="G208" s="193"/>
      <c r="H208" s="123"/>
      <c r="I208" s="191"/>
      <c r="J208" s="182"/>
      <c r="K208" s="182"/>
      <c r="L208" s="128"/>
      <c r="M208" s="129">
        <f t="shared" si="9"/>
        <v>25648.680000000008</v>
      </c>
    </row>
    <row r="209" spans="1:13" x14ac:dyDescent="0.2">
      <c r="A209" s="10"/>
      <c r="B209" s="11"/>
      <c r="C209" s="122"/>
      <c r="D209" s="122"/>
      <c r="E209" s="122"/>
      <c r="F209" s="122"/>
      <c r="G209" s="126"/>
      <c r="H209" s="123"/>
      <c r="I209" s="135"/>
      <c r="J209" s="128"/>
      <c r="K209" s="128"/>
      <c r="L209" s="128"/>
      <c r="M209" s="129">
        <f t="shared" si="9"/>
        <v>25648.680000000008</v>
      </c>
    </row>
    <row r="210" spans="1:13" ht="15" x14ac:dyDescent="0.25">
      <c r="A210" s="533" t="s">
        <v>192</v>
      </c>
      <c r="B210" s="534"/>
      <c r="C210" s="534"/>
      <c r="D210" s="534"/>
      <c r="E210" s="534"/>
      <c r="F210" s="534"/>
      <c r="G210" s="534"/>
      <c r="H210" s="534"/>
      <c r="I210" s="534"/>
      <c r="J210" s="534"/>
      <c r="K210" s="534"/>
      <c r="L210" s="534"/>
      <c r="M210" s="129">
        <f t="shared" si="9"/>
        <v>25648.680000000008</v>
      </c>
    </row>
    <row r="211" spans="1:13" x14ac:dyDescent="0.2">
      <c r="A211" s="131">
        <v>43194</v>
      </c>
      <c r="B211" s="195"/>
      <c r="C211" s="152" t="s">
        <v>193</v>
      </c>
      <c r="D211" s="195"/>
      <c r="E211" s="122"/>
      <c r="F211" s="122" t="s">
        <v>194</v>
      </c>
      <c r="G211" s="133" t="s">
        <v>195</v>
      </c>
      <c r="H211" s="123"/>
      <c r="I211" s="127"/>
      <c r="J211" s="128"/>
      <c r="K211" s="128"/>
      <c r="L211" s="128">
        <v>250</v>
      </c>
      <c r="M211" s="129">
        <f t="shared" si="9"/>
        <v>25398.680000000008</v>
      </c>
    </row>
    <row r="212" spans="1:13" x14ac:dyDescent="0.2">
      <c r="A212" s="185"/>
      <c r="B212" s="196" t="s">
        <v>196</v>
      </c>
      <c r="C212" s="122"/>
      <c r="D212" s="122"/>
      <c r="E212" s="122"/>
      <c r="F212" s="146" t="s">
        <v>197</v>
      </c>
      <c r="G212" s="147" t="s">
        <v>198</v>
      </c>
      <c r="H212" s="148"/>
      <c r="I212" s="127"/>
      <c r="J212" s="128"/>
      <c r="K212" s="128"/>
      <c r="L212" s="149">
        <v>7901.87</v>
      </c>
      <c r="M212" s="129">
        <f t="shared" si="9"/>
        <v>17496.810000000009</v>
      </c>
    </row>
    <row r="213" spans="1:13" x14ac:dyDescent="0.2">
      <c r="A213" s="185">
        <v>43213</v>
      </c>
      <c r="B213" s="151" t="s">
        <v>199</v>
      </c>
      <c r="C213" s="152"/>
      <c r="D213" s="186" t="s">
        <v>200</v>
      </c>
      <c r="E213" s="122"/>
      <c r="F213" s="146" t="s">
        <v>201</v>
      </c>
      <c r="G213" s="147" t="s">
        <v>202</v>
      </c>
      <c r="H213" s="148"/>
      <c r="I213" s="127"/>
      <c r="J213" s="128"/>
      <c r="K213" s="128"/>
      <c r="L213" s="149">
        <v>1700</v>
      </c>
      <c r="M213" s="129">
        <f t="shared" si="9"/>
        <v>15796.810000000009</v>
      </c>
    </row>
    <row r="214" spans="1:13" x14ac:dyDescent="0.2">
      <c r="A214" s="185"/>
      <c r="B214" s="151" t="s">
        <v>203</v>
      </c>
      <c r="C214" s="152"/>
      <c r="D214" s="186" t="s">
        <v>204</v>
      </c>
      <c r="E214" s="122"/>
      <c r="F214" s="146"/>
      <c r="G214" s="147" t="s">
        <v>205</v>
      </c>
      <c r="H214" s="148"/>
      <c r="I214" s="127"/>
      <c r="J214" s="128"/>
      <c r="K214" s="128"/>
      <c r="L214" s="149">
        <v>950</v>
      </c>
      <c r="M214" s="129">
        <f t="shared" si="9"/>
        <v>14846.810000000009</v>
      </c>
    </row>
    <row r="215" spans="1:13" s="150" customFormat="1" x14ac:dyDescent="0.2">
      <c r="A215" s="185"/>
      <c r="B215" s="151" t="s">
        <v>206</v>
      </c>
      <c r="C215" s="152"/>
      <c r="D215" s="156" t="s">
        <v>207</v>
      </c>
      <c r="E215" s="147"/>
      <c r="F215" s="148"/>
      <c r="G215" s="147" t="s">
        <v>208</v>
      </c>
      <c r="H215" s="148"/>
      <c r="I215" s="128"/>
      <c r="J215" s="197"/>
      <c r="K215" s="146"/>
      <c r="L215" s="149">
        <v>850</v>
      </c>
      <c r="M215" s="129">
        <f t="shared" si="9"/>
        <v>13996.810000000009</v>
      </c>
    </row>
    <row r="216" spans="1:13" ht="13.5" thickBot="1" x14ac:dyDescent="0.25">
      <c r="A216" s="185"/>
      <c r="B216" s="132"/>
      <c r="C216" s="122"/>
      <c r="D216" s="146"/>
      <c r="E216" s="147"/>
      <c r="F216" s="148"/>
      <c r="G216" s="133"/>
      <c r="H216" s="123"/>
      <c r="I216" s="128"/>
      <c r="J216" s="197"/>
      <c r="K216" s="146"/>
      <c r="L216" s="198"/>
      <c r="M216" s="129">
        <f t="shared" si="9"/>
        <v>13996.810000000009</v>
      </c>
    </row>
    <row r="217" spans="1:13" ht="13.5" thickBot="1" x14ac:dyDescent="0.25">
      <c r="A217" s="115"/>
      <c r="B217" s="116"/>
      <c r="C217" s="117"/>
      <c r="D217" s="117"/>
      <c r="E217" s="157"/>
      <c r="F217" s="158"/>
      <c r="G217" s="159"/>
      <c r="H217" s="199" t="s">
        <v>209</v>
      </c>
      <c r="I217" s="161">
        <f>SUM(I168:I216)</f>
        <v>14478</v>
      </c>
      <c r="J217" s="162">
        <f>SUM(J167:J216)</f>
        <v>4632.9599999999982</v>
      </c>
      <c r="K217" s="163">
        <f>SUM(K167:K216)</f>
        <v>9845.0399999999972</v>
      </c>
      <c r="L217" s="164">
        <f>SUM(L211:L216)</f>
        <v>11651.869999999999</v>
      </c>
      <c r="M217" s="165"/>
    </row>
    <row r="218" spans="1:13" ht="13.5" thickBot="1" x14ac:dyDescent="0.25">
      <c r="A218" s="166"/>
      <c r="C218" s="168"/>
      <c r="D218" s="168"/>
      <c r="E218" s="169"/>
      <c r="F218" s="170"/>
      <c r="G218" s="171"/>
      <c r="H218" s="200" t="s">
        <v>13</v>
      </c>
      <c r="I218" s="189"/>
      <c r="J218" s="188"/>
      <c r="K218" s="180"/>
      <c r="L218" s="180"/>
      <c r="M218" s="175">
        <f>+K217-L217+M167</f>
        <v>13996.810000000012</v>
      </c>
    </row>
    <row r="219" spans="1:13" x14ac:dyDescent="0.2">
      <c r="A219" s="166"/>
      <c r="C219" s="168"/>
      <c r="D219" s="168"/>
      <c r="E219" s="169"/>
      <c r="F219" s="170"/>
      <c r="G219" s="171"/>
      <c r="H219" s="171"/>
      <c r="I219" s="189"/>
      <c r="J219" s="188"/>
      <c r="K219" s="180"/>
      <c r="L219" s="180"/>
      <c r="M219" s="189"/>
    </row>
    <row r="220" spans="1:13" x14ac:dyDescent="0.2">
      <c r="A220" s="166"/>
      <c r="C220" s="168"/>
      <c r="D220" s="168"/>
      <c r="E220" s="169"/>
      <c r="F220" s="170"/>
      <c r="G220" s="171"/>
      <c r="H220" s="171"/>
      <c r="I220" s="189"/>
      <c r="J220" s="188"/>
      <c r="K220" s="180"/>
      <c r="L220" s="180"/>
      <c r="M220" s="189"/>
    </row>
    <row r="221" spans="1:13" x14ac:dyDescent="0.2">
      <c r="A221" s="527" t="s">
        <v>95</v>
      </c>
      <c r="B221" s="528"/>
      <c r="C221" s="528"/>
      <c r="D221" s="528"/>
      <c r="E221" s="528"/>
      <c r="F221" s="528"/>
      <c r="G221" s="528"/>
      <c r="H221" s="528"/>
      <c r="I221" s="528"/>
      <c r="J221" s="528"/>
      <c r="K221" s="528"/>
      <c r="L221" s="528"/>
      <c r="M221" s="529"/>
    </row>
    <row r="222" spans="1:13" x14ac:dyDescent="0.2">
      <c r="A222" s="530"/>
      <c r="B222" s="531"/>
      <c r="C222" s="531"/>
      <c r="D222" s="531"/>
      <c r="E222" s="531"/>
      <c r="F222" s="531"/>
      <c r="G222" s="531"/>
      <c r="H222" s="531"/>
      <c r="I222" s="531"/>
      <c r="J222" s="531"/>
      <c r="K222" s="531"/>
      <c r="L222" s="531"/>
      <c r="M222" s="532"/>
    </row>
    <row r="223" spans="1:13" ht="15" x14ac:dyDescent="0.25">
      <c r="A223" s="533" t="s">
        <v>210</v>
      </c>
      <c r="B223" s="534"/>
      <c r="C223" s="534"/>
      <c r="D223" s="534"/>
      <c r="E223" s="534"/>
      <c r="F223" s="534"/>
      <c r="G223" s="534"/>
      <c r="H223" s="534"/>
      <c r="I223" s="534"/>
      <c r="J223" s="534"/>
      <c r="K223" s="534"/>
      <c r="L223" s="534"/>
      <c r="M223" s="534"/>
    </row>
    <row r="224" spans="1:13" x14ac:dyDescent="0.2">
      <c r="A224" s="115" t="s">
        <v>1</v>
      </c>
      <c r="B224" s="116" t="s">
        <v>2</v>
      </c>
      <c r="C224" s="117" t="s">
        <v>3</v>
      </c>
      <c r="D224" s="117" t="s">
        <v>4</v>
      </c>
      <c r="E224" s="117" t="s">
        <v>96</v>
      </c>
      <c r="F224" s="117" t="s">
        <v>5</v>
      </c>
      <c r="G224" s="118" t="s">
        <v>97</v>
      </c>
      <c r="H224" s="118" t="s">
        <v>6</v>
      </c>
      <c r="I224" s="117" t="s">
        <v>7</v>
      </c>
      <c r="J224" s="117" t="s">
        <v>8</v>
      </c>
      <c r="K224" s="117" t="s">
        <v>9</v>
      </c>
      <c r="L224" s="119" t="s">
        <v>10</v>
      </c>
      <c r="M224" s="117" t="s">
        <v>11</v>
      </c>
    </row>
    <row r="225" spans="1:13" x14ac:dyDescent="0.2">
      <c r="A225" s="120"/>
      <c r="B225" s="121"/>
      <c r="C225" s="122"/>
      <c r="D225" s="122"/>
      <c r="E225" s="122"/>
      <c r="F225" s="122"/>
      <c r="G225" s="101"/>
      <c r="H225" s="123"/>
      <c r="I225" s="124"/>
      <c r="J225" s="125"/>
      <c r="K225" s="125"/>
      <c r="L225" s="125"/>
      <c r="M225" s="124">
        <f>+M218</f>
        <v>13996.810000000012</v>
      </c>
    </row>
    <row r="226" spans="1:13" ht="14.25" x14ac:dyDescent="0.2">
      <c r="A226" s="201">
        <v>43192</v>
      </c>
      <c r="B226" s="184" t="s">
        <v>211</v>
      </c>
      <c r="C226" s="126"/>
      <c r="D226" s="122"/>
      <c r="E226" s="122"/>
      <c r="F226" s="122"/>
      <c r="G226" s="126" t="s">
        <v>212</v>
      </c>
      <c r="H226" s="122"/>
      <c r="I226" s="202">
        <v>328</v>
      </c>
      <c r="J226" s="182">
        <f>+I226*0.32</f>
        <v>104.96000000000001</v>
      </c>
      <c r="K226" s="182">
        <f>+I226*0.68</f>
        <v>223.04000000000002</v>
      </c>
      <c r="L226" s="128"/>
      <c r="M226" s="129">
        <f>+K226-L226+M225</f>
        <v>14219.850000000013</v>
      </c>
    </row>
    <row r="227" spans="1:13" ht="14.25" x14ac:dyDescent="0.2">
      <c r="A227" s="201">
        <v>43193</v>
      </c>
      <c r="B227" s="184" t="s">
        <v>211</v>
      </c>
      <c r="C227" s="126"/>
      <c r="D227" s="122"/>
      <c r="E227" s="122"/>
      <c r="F227" s="122"/>
      <c r="G227" s="126" t="s">
        <v>212</v>
      </c>
      <c r="H227" s="122"/>
      <c r="I227" s="202">
        <v>988.5</v>
      </c>
      <c r="J227" s="182">
        <f t="shared" ref="J227:J267" si="10">+I227*0.32</f>
        <v>316.32</v>
      </c>
      <c r="K227" s="182">
        <f t="shared" ref="K227:K266" si="11">+I227*0.68</f>
        <v>672.18000000000006</v>
      </c>
      <c r="L227" s="128"/>
      <c r="M227" s="129">
        <f>+K227-L227+M226</f>
        <v>14892.030000000013</v>
      </c>
    </row>
    <row r="228" spans="1:13" ht="14.25" x14ac:dyDescent="0.2">
      <c r="A228" s="201">
        <v>43194</v>
      </c>
      <c r="B228" s="184" t="s">
        <v>211</v>
      </c>
      <c r="C228" s="126"/>
      <c r="D228" s="122"/>
      <c r="E228" s="183"/>
      <c r="F228" s="183"/>
      <c r="G228" s="126" t="s">
        <v>212</v>
      </c>
      <c r="H228" s="122"/>
      <c r="I228" s="202">
        <v>288</v>
      </c>
      <c r="J228" s="182">
        <f t="shared" si="10"/>
        <v>92.16</v>
      </c>
      <c r="K228" s="182">
        <f t="shared" si="11"/>
        <v>195.84</v>
      </c>
      <c r="L228" s="128"/>
      <c r="M228" s="129">
        <f>+K228-L228+M227</f>
        <v>15087.870000000014</v>
      </c>
    </row>
    <row r="229" spans="1:13" ht="14.25" x14ac:dyDescent="0.2">
      <c r="A229" s="201">
        <v>43195</v>
      </c>
      <c r="B229" s="184" t="s">
        <v>211</v>
      </c>
      <c r="C229" s="126"/>
      <c r="D229" s="122"/>
      <c r="E229" s="122"/>
      <c r="F229" s="122"/>
      <c r="G229" s="126" t="s">
        <v>212</v>
      </c>
      <c r="H229" s="122"/>
      <c r="I229" s="202">
        <v>918</v>
      </c>
      <c r="J229" s="182">
        <f t="shared" si="10"/>
        <v>293.76</v>
      </c>
      <c r="K229" s="182">
        <f t="shared" si="11"/>
        <v>624.24</v>
      </c>
      <c r="L229" s="128"/>
      <c r="M229" s="129">
        <f t="shared" ref="M229:M287" si="12">+K229-L229+M228</f>
        <v>15712.110000000013</v>
      </c>
    </row>
    <row r="230" spans="1:13" ht="14.25" x14ac:dyDescent="0.2">
      <c r="A230" s="201">
        <v>43196</v>
      </c>
      <c r="B230" s="184" t="s">
        <v>211</v>
      </c>
      <c r="C230" s="126"/>
      <c r="D230" s="122"/>
      <c r="E230" s="122"/>
      <c r="F230" s="122"/>
      <c r="G230" s="126" t="s">
        <v>212</v>
      </c>
      <c r="H230" s="122"/>
      <c r="I230" s="202">
        <v>408</v>
      </c>
      <c r="J230" s="182">
        <f t="shared" si="10"/>
        <v>130.56</v>
      </c>
      <c r="K230" s="182">
        <f t="shared" si="11"/>
        <v>277.44</v>
      </c>
      <c r="L230" s="128"/>
      <c r="M230" s="129">
        <f t="shared" si="12"/>
        <v>15989.550000000014</v>
      </c>
    </row>
    <row r="231" spans="1:13" ht="14.25" x14ac:dyDescent="0.2">
      <c r="A231" s="201">
        <v>43197</v>
      </c>
      <c r="B231" s="184" t="s">
        <v>211</v>
      </c>
      <c r="C231" s="126"/>
      <c r="D231" s="122"/>
      <c r="E231" s="122"/>
      <c r="F231" s="122"/>
      <c r="G231" s="126" t="s">
        <v>212</v>
      </c>
      <c r="H231" s="122"/>
      <c r="I231" s="202">
        <v>185</v>
      </c>
      <c r="J231" s="182">
        <f t="shared" si="10"/>
        <v>59.2</v>
      </c>
      <c r="K231" s="182">
        <f t="shared" si="11"/>
        <v>125.80000000000001</v>
      </c>
      <c r="L231" s="128"/>
      <c r="M231" s="129">
        <f t="shared" si="12"/>
        <v>16115.350000000013</v>
      </c>
    </row>
    <row r="232" spans="1:13" ht="14.25" x14ac:dyDescent="0.2">
      <c r="A232" s="201">
        <v>43199</v>
      </c>
      <c r="B232" s="184" t="s">
        <v>211</v>
      </c>
      <c r="C232" s="126"/>
      <c r="D232" s="122"/>
      <c r="E232" s="122"/>
      <c r="F232" s="122"/>
      <c r="G232" s="126" t="s">
        <v>212</v>
      </c>
      <c r="H232" s="122"/>
      <c r="I232" s="202">
        <v>944</v>
      </c>
      <c r="J232" s="182">
        <f t="shared" si="10"/>
        <v>302.08</v>
      </c>
      <c r="K232" s="182">
        <f t="shared" si="11"/>
        <v>641.92000000000007</v>
      </c>
      <c r="L232" s="128"/>
      <c r="M232" s="129">
        <f t="shared" si="12"/>
        <v>16757.270000000011</v>
      </c>
    </row>
    <row r="233" spans="1:13" ht="14.25" x14ac:dyDescent="0.2">
      <c r="A233" s="201">
        <v>43200</v>
      </c>
      <c r="B233" s="184" t="s">
        <v>211</v>
      </c>
      <c r="C233" s="126"/>
      <c r="D233" s="122"/>
      <c r="E233" s="122"/>
      <c r="F233" s="122"/>
      <c r="G233" s="126" t="s">
        <v>212</v>
      </c>
      <c r="H233" s="122"/>
      <c r="I233" s="202">
        <v>472</v>
      </c>
      <c r="J233" s="182">
        <f t="shared" si="10"/>
        <v>151.04</v>
      </c>
      <c r="K233" s="182">
        <f t="shared" si="11"/>
        <v>320.96000000000004</v>
      </c>
      <c r="L233" s="128"/>
      <c r="M233" s="129">
        <f t="shared" si="12"/>
        <v>17078.23000000001</v>
      </c>
    </row>
    <row r="234" spans="1:13" ht="14.25" x14ac:dyDescent="0.2">
      <c r="A234" s="201">
        <v>43201</v>
      </c>
      <c r="B234" s="184" t="s">
        <v>211</v>
      </c>
      <c r="C234" s="126"/>
      <c r="D234" s="122"/>
      <c r="E234" s="122"/>
      <c r="F234" s="122"/>
      <c r="G234" s="126" t="s">
        <v>212</v>
      </c>
      <c r="H234" s="122"/>
      <c r="I234" s="202">
        <v>2400</v>
      </c>
      <c r="J234" s="182">
        <f t="shared" si="10"/>
        <v>768</v>
      </c>
      <c r="K234" s="182">
        <f t="shared" si="11"/>
        <v>1632.0000000000002</v>
      </c>
      <c r="L234" s="128"/>
      <c r="M234" s="129">
        <f t="shared" si="12"/>
        <v>18710.23000000001</v>
      </c>
    </row>
    <row r="235" spans="1:13" ht="14.25" x14ac:dyDescent="0.2">
      <c r="A235" s="201">
        <v>43202</v>
      </c>
      <c r="B235" s="184" t="s">
        <v>211</v>
      </c>
      <c r="C235" s="126"/>
      <c r="D235" s="122"/>
      <c r="E235" s="122"/>
      <c r="F235" s="122"/>
      <c r="G235" s="126" t="s">
        <v>212</v>
      </c>
      <c r="H235" s="122"/>
      <c r="I235" s="203">
        <v>1164</v>
      </c>
      <c r="J235" s="182">
        <f t="shared" si="10"/>
        <v>372.48</v>
      </c>
      <c r="K235" s="182">
        <f t="shared" si="11"/>
        <v>791.5200000000001</v>
      </c>
      <c r="L235" s="128"/>
      <c r="M235" s="129">
        <f t="shared" si="12"/>
        <v>19501.750000000011</v>
      </c>
    </row>
    <row r="236" spans="1:13" ht="14.25" x14ac:dyDescent="0.2">
      <c r="A236" s="201">
        <v>43203</v>
      </c>
      <c r="B236" s="184" t="s">
        <v>211</v>
      </c>
      <c r="C236" s="126"/>
      <c r="D236" s="135"/>
      <c r="E236" s="122"/>
      <c r="F236" s="122"/>
      <c r="G236" s="126" t="s">
        <v>212</v>
      </c>
      <c r="H236" s="135"/>
      <c r="I236" s="203">
        <v>800</v>
      </c>
      <c r="J236" s="182">
        <f t="shared" si="10"/>
        <v>256</v>
      </c>
      <c r="K236" s="182">
        <f t="shared" si="11"/>
        <v>544</v>
      </c>
      <c r="L236" s="128"/>
      <c r="M236" s="129">
        <f t="shared" si="12"/>
        <v>20045.750000000011</v>
      </c>
    </row>
    <row r="237" spans="1:13" ht="14.25" x14ac:dyDescent="0.2">
      <c r="A237" s="201">
        <v>43204</v>
      </c>
      <c r="B237" s="184" t="s">
        <v>211</v>
      </c>
      <c r="C237" s="126"/>
      <c r="D237" s="135"/>
      <c r="E237" s="122"/>
      <c r="F237" s="122"/>
      <c r="G237" s="126" t="s">
        <v>212</v>
      </c>
      <c r="H237" s="135"/>
      <c r="I237" s="202">
        <v>164</v>
      </c>
      <c r="J237" s="182">
        <f t="shared" si="10"/>
        <v>52.480000000000004</v>
      </c>
      <c r="K237" s="182">
        <f t="shared" si="11"/>
        <v>111.52000000000001</v>
      </c>
      <c r="L237" s="128"/>
      <c r="M237" s="129">
        <f t="shared" si="12"/>
        <v>20157.270000000011</v>
      </c>
    </row>
    <row r="238" spans="1:13" ht="14.25" x14ac:dyDescent="0.2">
      <c r="A238" s="201">
        <v>43206</v>
      </c>
      <c r="B238" s="184" t="s">
        <v>211</v>
      </c>
      <c r="C238" s="126"/>
      <c r="D238" s="135"/>
      <c r="E238" s="122"/>
      <c r="F238" s="122"/>
      <c r="G238" s="126" t="s">
        <v>212</v>
      </c>
      <c r="H238" s="135"/>
      <c r="I238" s="202">
        <v>328</v>
      </c>
      <c r="J238" s="182">
        <f t="shared" si="10"/>
        <v>104.96000000000001</v>
      </c>
      <c r="K238" s="182">
        <f t="shared" si="11"/>
        <v>223.04000000000002</v>
      </c>
      <c r="L238" s="128"/>
      <c r="M238" s="129">
        <f t="shared" si="12"/>
        <v>20380.310000000012</v>
      </c>
    </row>
    <row r="239" spans="1:13" ht="14.25" x14ac:dyDescent="0.2">
      <c r="A239" s="201">
        <v>43207</v>
      </c>
      <c r="B239" s="184" t="s">
        <v>211</v>
      </c>
      <c r="C239" s="126"/>
      <c r="D239" s="135"/>
      <c r="E239" s="122"/>
      <c r="F239" s="122"/>
      <c r="G239" s="126" t="s">
        <v>212</v>
      </c>
      <c r="H239" s="135"/>
      <c r="I239" s="202">
        <v>328</v>
      </c>
      <c r="J239" s="182">
        <f t="shared" si="10"/>
        <v>104.96000000000001</v>
      </c>
      <c r="K239" s="182">
        <f t="shared" si="11"/>
        <v>223.04000000000002</v>
      </c>
      <c r="L239" s="128"/>
      <c r="M239" s="129">
        <f t="shared" si="12"/>
        <v>20603.350000000013</v>
      </c>
    </row>
    <row r="240" spans="1:13" ht="14.25" x14ac:dyDescent="0.2">
      <c r="A240" s="201">
        <v>43208</v>
      </c>
      <c r="B240" s="184" t="s">
        <v>211</v>
      </c>
      <c r="C240" s="126"/>
      <c r="D240" s="122"/>
      <c r="E240" s="122"/>
      <c r="F240" s="122"/>
      <c r="G240" s="126" t="s">
        <v>212</v>
      </c>
      <c r="H240" s="122"/>
      <c r="I240" s="202">
        <v>820</v>
      </c>
      <c r="J240" s="182">
        <f t="shared" si="10"/>
        <v>262.39999999999998</v>
      </c>
      <c r="K240" s="182">
        <f t="shared" si="11"/>
        <v>557.6</v>
      </c>
      <c r="L240" s="128"/>
      <c r="M240" s="129">
        <f t="shared" si="12"/>
        <v>21160.950000000012</v>
      </c>
    </row>
    <row r="241" spans="1:13" ht="14.25" x14ac:dyDescent="0.2">
      <c r="A241" s="201">
        <v>43209</v>
      </c>
      <c r="B241" s="184" t="s">
        <v>211</v>
      </c>
      <c r="C241" s="126"/>
      <c r="D241" s="122"/>
      <c r="E241" s="122"/>
      <c r="F241" s="122"/>
      <c r="G241" s="126" t="s">
        <v>212</v>
      </c>
      <c r="H241" s="122"/>
      <c r="I241" s="202">
        <v>4893</v>
      </c>
      <c r="J241" s="182">
        <f t="shared" si="10"/>
        <v>1565.76</v>
      </c>
      <c r="K241" s="182">
        <f t="shared" si="11"/>
        <v>3327.2400000000002</v>
      </c>
      <c r="L241" s="128"/>
      <c r="M241" s="129">
        <f t="shared" si="12"/>
        <v>24488.190000000013</v>
      </c>
    </row>
    <row r="242" spans="1:13" ht="14.25" x14ac:dyDescent="0.2">
      <c r="A242" s="201">
        <v>43210</v>
      </c>
      <c r="B242" s="184" t="s">
        <v>211</v>
      </c>
      <c r="C242" s="126"/>
      <c r="D242" s="122"/>
      <c r="E242" s="122"/>
      <c r="F242" s="122"/>
      <c r="G242" s="126" t="s">
        <v>212</v>
      </c>
      <c r="H242" s="122"/>
      <c r="I242" s="202">
        <v>1249</v>
      </c>
      <c r="J242" s="182">
        <f t="shared" si="10"/>
        <v>399.68</v>
      </c>
      <c r="K242" s="182">
        <f t="shared" si="11"/>
        <v>849.32</v>
      </c>
      <c r="L242" s="128"/>
      <c r="M242" s="129">
        <f t="shared" si="12"/>
        <v>25337.510000000013</v>
      </c>
    </row>
    <row r="243" spans="1:13" ht="14.25" x14ac:dyDescent="0.2">
      <c r="A243" s="201">
        <v>43211</v>
      </c>
      <c r="B243" s="184" t="s">
        <v>211</v>
      </c>
      <c r="C243" s="126"/>
      <c r="D243" s="122"/>
      <c r="E243" s="122"/>
      <c r="F243" s="122"/>
      <c r="G243" s="126" t="s">
        <v>212</v>
      </c>
      <c r="H243" s="122"/>
      <c r="I243" s="202">
        <v>764</v>
      </c>
      <c r="J243" s="182">
        <f t="shared" si="10"/>
        <v>244.48000000000002</v>
      </c>
      <c r="K243" s="182">
        <f t="shared" si="11"/>
        <v>519.52</v>
      </c>
      <c r="L243" s="128"/>
      <c r="M243" s="129">
        <f t="shared" si="12"/>
        <v>25857.030000000013</v>
      </c>
    </row>
    <row r="244" spans="1:13" ht="14.25" x14ac:dyDescent="0.2">
      <c r="A244" s="201">
        <v>43213</v>
      </c>
      <c r="B244" s="184" t="s">
        <v>211</v>
      </c>
      <c r="C244" s="126"/>
      <c r="D244" s="122"/>
      <c r="E244" s="122"/>
      <c r="F244" s="122"/>
      <c r="G244" s="126" t="s">
        <v>212</v>
      </c>
      <c r="H244" s="122"/>
      <c r="I244" s="202">
        <v>328</v>
      </c>
      <c r="J244" s="182">
        <f t="shared" si="10"/>
        <v>104.96000000000001</v>
      </c>
      <c r="K244" s="182">
        <f t="shared" si="11"/>
        <v>223.04000000000002</v>
      </c>
      <c r="L244" s="128"/>
      <c r="M244" s="129">
        <f t="shared" si="12"/>
        <v>26080.070000000014</v>
      </c>
    </row>
    <row r="245" spans="1:13" ht="14.25" x14ac:dyDescent="0.2">
      <c r="A245" s="201">
        <v>43214</v>
      </c>
      <c r="B245" s="184" t="s">
        <v>211</v>
      </c>
      <c r="C245" s="126"/>
      <c r="D245" s="122"/>
      <c r="E245" s="122"/>
      <c r="F245" s="122"/>
      <c r="G245" s="126" t="s">
        <v>212</v>
      </c>
      <c r="H245" s="122"/>
      <c r="I245" s="202">
        <v>839</v>
      </c>
      <c r="J245" s="182">
        <f t="shared" si="10"/>
        <v>268.48</v>
      </c>
      <c r="K245" s="182">
        <f t="shared" si="11"/>
        <v>570.5200000000001</v>
      </c>
      <c r="L245" s="128"/>
      <c r="M245" s="129">
        <f t="shared" si="12"/>
        <v>26650.590000000015</v>
      </c>
    </row>
    <row r="246" spans="1:13" ht="14.25" x14ac:dyDescent="0.2">
      <c r="A246" s="201">
        <v>43215</v>
      </c>
      <c r="B246" s="184" t="s">
        <v>213</v>
      </c>
      <c r="C246" s="193"/>
      <c r="D246" s="122"/>
      <c r="E246" s="122"/>
      <c r="F246" s="122"/>
      <c r="G246" s="126" t="s">
        <v>214</v>
      </c>
      <c r="H246" s="123"/>
      <c r="I246" s="202">
        <v>164</v>
      </c>
      <c r="J246" s="182">
        <f t="shared" si="10"/>
        <v>52.480000000000004</v>
      </c>
      <c r="K246" s="182">
        <f>+I246*0.68</f>
        <v>111.52000000000001</v>
      </c>
      <c r="L246" s="128"/>
      <c r="M246" s="129">
        <f t="shared" si="12"/>
        <v>26762.110000000015</v>
      </c>
    </row>
    <row r="247" spans="1:13" ht="14.25" x14ac:dyDescent="0.2">
      <c r="A247" s="201">
        <v>43216</v>
      </c>
      <c r="B247" s="184" t="s">
        <v>213</v>
      </c>
      <c r="C247" s="122"/>
      <c r="D247" s="122"/>
      <c r="E247" s="122"/>
      <c r="F247" s="122"/>
      <c r="G247" s="126" t="s">
        <v>214</v>
      </c>
      <c r="H247" s="123"/>
      <c r="I247" s="202">
        <v>264</v>
      </c>
      <c r="J247" s="182">
        <f t="shared" si="10"/>
        <v>84.48</v>
      </c>
      <c r="K247" s="182">
        <f t="shared" si="11"/>
        <v>179.52</v>
      </c>
      <c r="L247" s="128"/>
      <c r="M247" s="129">
        <f t="shared" si="12"/>
        <v>26941.630000000016</v>
      </c>
    </row>
    <row r="248" spans="1:13" ht="14.25" x14ac:dyDescent="0.2">
      <c r="A248" s="201">
        <v>43217</v>
      </c>
      <c r="B248" s="184" t="s">
        <v>213</v>
      </c>
      <c r="C248" s="122"/>
      <c r="D248" s="122"/>
      <c r="E248" s="122"/>
      <c r="F248" s="122"/>
      <c r="G248" s="126" t="s">
        <v>214</v>
      </c>
      <c r="H248" s="123"/>
      <c r="I248" s="202">
        <v>308</v>
      </c>
      <c r="J248" s="182">
        <f t="shared" si="10"/>
        <v>98.56</v>
      </c>
      <c r="K248" s="182">
        <f t="shared" si="11"/>
        <v>209.44000000000003</v>
      </c>
      <c r="L248" s="128"/>
      <c r="M248" s="129">
        <f t="shared" si="12"/>
        <v>27151.070000000014</v>
      </c>
    </row>
    <row r="249" spans="1:13" ht="14.25" x14ac:dyDescent="0.2">
      <c r="A249" s="201">
        <v>43467</v>
      </c>
      <c r="B249" s="184"/>
      <c r="C249" s="122"/>
      <c r="D249" s="122"/>
      <c r="E249" s="122"/>
      <c r="F249" s="122"/>
      <c r="G249" s="126"/>
      <c r="H249" s="123"/>
      <c r="I249" s="202">
        <v>588</v>
      </c>
      <c r="J249" s="182">
        <f t="shared" si="10"/>
        <v>188.16</v>
      </c>
      <c r="K249" s="182">
        <f t="shared" si="11"/>
        <v>399.84000000000003</v>
      </c>
      <c r="L249" s="128"/>
      <c r="M249" s="129">
        <f t="shared" si="12"/>
        <v>27550.910000000014</v>
      </c>
    </row>
    <row r="250" spans="1:13" ht="14.25" x14ac:dyDescent="0.2">
      <c r="A250" s="201">
        <v>43558</v>
      </c>
      <c r="B250" s="184"/>
      <c r="C250" s="122"/>
      <c r="D250" s="122"/>
      <c r="E250" s="122"/>
      <c r="F250" s="122"/>
      <c r="G250" s="126"/>
      <c r="H250" s="123"/>
      <c r="I250" s="202">
        <v>308</v>
      </c>
      <c r="J250" s="182">
        <f t="shared" si="10"/>
        <v>98.56</v>
      </c>
      <c r="K250" s="182">
        <f t="shared" si="11"/>
        <v>209.44000000000003</v>
      </c>
      <c r="L250" s="128"/>
      <c r="M250" s="129">
        <f t="shared" si="12"/>
        <v>27760.350000000013</v>
      </c>
    </row>
    <row r="251" spans="1:13" ht="14.25" x14ac:dyDescent="0.2">
      <c r="A251" s="201">
        <v>43559</v>
      </c>
      <c r="B251" s="184"/>
      <c r="C251" s="122"/>
      <c r="D251" s="122"/>
      <c r="E251" s="122"/>
      <c r="F251" s="122"/>
      <c r="G251" s="126"/>
      <c r="H251" s="123"/>
      <c r="I251" s="202">
        <v>164</v>
      </c>
      <c r="J251" s="182">
        <f t="shared" si="10"/>
        <v>52.480000000000004</v>
      </c>
      <c r="K251" s="182">
        <f t="shared" si="11"/>
        <v>111.52000000000001</v>
      </c>
      <c r="L251" s="128"/>
      <c r="M251" s="129">
        <f t="shared" si="12"/>
        <v>27871.870000000014</v>
      </c>
    </row>
    <row r="252" spans="1:13" ht="14.25" x14ac:dyDescent="0.2">
      <c r="A252" s="201">
        <v>43561</v>
      </c>
      <c r="B252" s="184"/>
      <c r="C252" s="122"/>
      <c r="D252" s="122"/>
      <c r="E252" s="122"/>
      <c r="F252" s="122"/>
      <c r="G252" s="126"/>
      <c r="H252" s="123"/>
      <c r="I252" s="202">
        <v>400</v>
      </c>
      <c r="J252" s="182">
        <f t="shared" si="10"/>
        <v>128</v>
      </c>
      <c r="K252" s="182">
        <f t="shared" si="11"/>
        <v>272</v>
      </c>
      <c r="L252" s="128"/>
      <c r="M252" s="129">
        <f t="shared" si="12"/>
        <v>28143.870000000014</v>
      </c>
    </row>
    <row r="253" spans="1:13" ht="14.25" x14ac:dyDescent="0.2">
      <c r="A253" s="201">
        <v>43564</v>
      </c>
      <c r="B253" s="184"/>
      <c r="C253" s="122"/>
      <c r="D253" s="122"/>
      <c r="E253" s="122"/>
      <c r="F253" s="122"/>
      <c r="G253" s="126"/>
      <c r="H253" s="123"/>
      <c r="I253" s="202">
        <v>616</v>
      </c>
      <c r="J253" s="182">
        <f t="shared" si="10"/>
        <v>197.12</v>
      </c>
      <c r="K253" s="182">
        <f t="shared" si="11"/>
        <v>418.88000000000005</v>
      </c>
      <c r="L253" s="128"/>
      <c r="M253" s="129">
        <f t="shared" si="12"/>
        <v>28562.750000000015</v>
      </c>
    </row>
    <row r="254" spans="1:13" ht="14.25" x14ac:dyDescent="0.2">
      <c r="A254" s="201">
        <v>43565</v>
      </c>
      <c r="B254" s="184"/>
      <c r="C254" s="122"/>
      <c r="D254" s="122"/>
      <c r="E254" s="122"/>
      <c r="F254" s="122"/>
      <c r="G254" s="126"/>
      <c r="H254" s="123"/>
      <c r="I254" s="202">
        <v>472</v>
      </c>
      <c r="J254" s="182">
        <f t="shared" si="10"/>
        <v>151.04</v>
      </c>
      <c r="K254" s="182">
        <f t="shared" si="11"/>
        <v>320.96000000000004</v>
      </c>
      <c r="L254" s="128"/>
      <c r="M254" s="129">
        <f t="shared" si="12"/>
        <v>28883.710000000014</v>
      </c>
    </row>
    <row r="255" spans="1:13" ht="14.25" x14ac:dyDescent="0.2">
      <c r="A255" s="201">
        <v>43567</v>
      </c>
      <c r="B255" s="184"/>
      <c r="C255" s="122"/>
      <c r="D255" s="122"/>
      <c r="E255" s="122"/>
      <c r="F255" s="122"/>
      <c r="G255" s="126"/>
      <c r="H255" s="123"/>
      <c r="I255" s="202">
        <v>944</v>
      </c>
      <c r="J255" s="182">
        <f t="shared" si="10"/>
        <v>302.08</v>
      </c>
      <c r="K255" s="182">
        <f t="shared" si="11"/>
        <v>641.92000000000007</v>
      </c>
      <c r="L255" s="128"/>
      <c r="M255" s="129">
        <f t="shared" si="12"/>
        <v>29525.630000000012</v>
      </c>
    </row>
    <row r="256" spans="1:13" ht="14.25" x14ac:dyDescent="0.2">
      <c r="A256" s="201">
        <v>43568</v>
      </c>
      <c r="B256" s="184"/>
      <c r="C256" s="122"/>
      <c r="D256" s="122"/>
      <c r="E256" s="122"/>
      <c r="F256" s="122"/>
      <c r="G256" s="126"/>
      <c r="H256" s="123"/>
      <c r="I256" s="202">
        <v>164</v>
      </c>
      <c r="J256" s="182">
        <f t="shared" si="10"/>
        <v>52.480000000000004</v>
      </c>
      <c r="K256" s="182">
        <f t="shared" si="11"/>
        <v>111.52000000000001</v>
      </c>
      <c r="L256" s="128"/>
      <c r="M256" s="129">
        <f t="shared" si="12"/>
        <v>29637.150000000012</v>
      </c>
    </row>
    <row r="257" spans="1:13" ht="14.25" x14ac:dyDescent="0.2">
      <c r="A257" s="201">
        <v>43569</v>
      </c>
      <c r="B257" s="184"/>
      <c r="C257" s="122"/>
      <c r="D257" s="122"/>
      <c r="E257" s="122"/>
      <c r="F257" s="122"/>
      <c r="G257" s="126"/>
      <c r="H257" s="123"/>
      <c r="I257" s="202">
        <v>308</v>
      </c>
      <c r="J257" s="182">
        <f t="shared" si="10"/>
        <v>98.56</v>
      </c>
      <c r="K257" s="182">
        <f t="shared" si="11"/>
        <v>209.44000000000003</v>
      </c>
      <c r="L257" s="128"/>
      <c r="M257" s="129">
        <f t="shared" si="12"/>
        <v>29846.590000000011</v>
      </c>
    </row>
    <row r="258" spans="1:13" ht="14.25" x14ac:dyDescent="0.2">
      <c r="A258" s="201">
        <v>43571</v>
      </c>
      <c r="B258" s="184"/>
      <c r="C258" s="122"/>
      <c r="D258" s="122"/>
      <c r="E258" s="122"/>
      <c r="F258" s="122"/>
      <c r="G258" s="126"/>
      <c r="H258" s="123"/>
      <c r="I258" s="202">
        <v>164</v>
      </c>
      <c r="J258" s="182">
        <f t="shared" si="10"/>
        <v>52.480000000000004</v>
      </c>
      <c r="K258" s="182">
        <f t="shared" si="11"/>
        <v>111.52000000000001</v>
      </c>
      <c r="L258" s="128"/>
      <c r="M258" s="129">
        <f t="shared" si="12"/>
        <v>29958.110000000011</v>
      </c>
    </row>
    <row r="259" spans="1:13" ht="14.25" x14ac:dyDescent="0.2">
      <c r="A259" s="201">
        <v>43572</v>
      </c>
      <c r="B259" s="184"/>
      <c r="C259" s="122"/>
      <c r="D259" s="122"/>
      <c r="E259" s="122"/>
      <c r="F259" s="122"/>
      <c r="G259" s="126"/>
      <c r="H259" s="123"/>
      <c r="I259" s="202">
        <v>636</v>
      </c>
      <c r="J259" s="182">
        <f t="shared" si="10"/>
        <v>203.52</v>
      </c>
      <c r="K259" s="182">
        <f t="shared" si="11"/>
        <v>432.48</v>
      </c>
      <c r="L259" s="128"/>
      <c r="M259" s="129">
        <f t="shared" si="12"/>
        <v>30390.590000000011</v>
      </c>
    </row>
    <row r="260" spans="1:13" ht="14.25" x14ac:dyDescent="0.2">
      <c r="A260" s="201">
        <v>43573</v>
      </c>
      <c r="B260" s="184"/>
      <c r="C260" s="122"/>
      <c r="D260" s="122"/>
      <c r="E260" s="122"/>
      <c r="F260" s="122"/>
      <c r="G260" s="126"/>
      <c r="H260" s="123"/>
      <c r="I260" s="202">
        <v>308</v>
      </c>
      <c r="J260" s="182">
        <f t="shared" si="10"/>
        <v>98.56</v>
      </c>
      <c r="K260" s="182">
        <f t="shared" si="11"/>
        <v>209.44000000000003</v>
      </c>
      <c r="L260" s="128"/>
      <c r="M260" s="129">
        <f t="shared" si="12"/>
        <v>30600.03000000001</v>
      </c>
    </row>
    <row r="261" spans="1:13" ht="14.25" x14ac:dyDescent="0.2">
      <c r="A261" s="201">
        <v>43574</v>
      </c>
      <c r="B261" s="184"/>
      <c r="C261" s="122"/>
      <c r="D261" s="122"/>
      <c r="E261" s="122"/>
      <c r="F261" s="122"/>
      <c r="G261" s="126"/>
      <c r="H261" s="123"/>
      <c r="I261" s="202">
        <v>572</v>
      </c>
      <c r="J261" s="182">
        <f t="shared" si="10"/>
        <v>183.04</v>
      </c>
      <c r="K261" s="182">
        <f t="shared" si="11"/>
        <v>388.96000000000004</v>
      </c>
      <c r="L261" s="128"/>
      <c r="M261" s="129">
        <f t="shared" si="12"/>
        <v>30988.990000000009</v>
      </c>
    </row>
    <row r="262" spans="1:13" ht="14.25" x14ac:dyDescent="0.2">
      <c r="A262" s="201">
        <v>43575</v>
      </c>
      <c r="B262" s="184"/>
      <c r="C262" s="122"/>
      <c r="D262" s="122"/>
      <c r="E262" s="122"/>
      <c r="F262" s="122"/>
      <c r="G262" s="126"/>
      <c r="H262" s="123"/>
      <c r="I262" s="202">
        <v>984</v>
      </c>
      <c r="J262" s="182">
        <f t="shared" si="10"/>
        <v>314.88</v>
      </c>
      <c r="K262" s="182">
        <f t="shared" si="11"/>
        <v>669.12</v>
      </c>
      <c r="L262" s="128"/>
      <c r="M262" s="129">
        <f t="shared" si="12"/>
        <v>31658.110000000008</v>
      </c>
    </row>
    <row r="263" spans="1:13" ht="14.25" x14ac:dyDescent="0.2">
      <c r="A263" s="201">
        <v>43576</v>
      </c>
      <c r="B263" s="184"/>
      <c r="C263" s="122"/>
      <c r="D263" s="122"/>
      <c r="E263" s="122"/>
      <c r="F263" s="122"/>
      <c r="G263" s="126"/>
      <c r="H263" s="123"/>
      <c r="I263" s="202">
        <v>308</v>
      </c>
      <c r="J263" s="182">
        <f t="shared" si="10"/>
        <v>98.56</v>
      </c>
      <c r="K263" s="182">
        <f t="shared" si="11"/>
        <v>209.44000000000003</v>
      </c>
      <c r="L263" s="128"/>
      <c r="M263" s="129">
        <f t="shared" si="12"/>
        <v>31867.550000000007</v>
      </c>
    </row>
    <row r="264" spans="1:13" ht="14.25" x14ac:dyDescent="0.2">
      <c r="A264" s="201">
        <v>43579</v>
      </c>
      <c r="B264" s="184"/>
      <c r="C264" s="122"/>
      <c r="D264" s="122"/>
      <c r="E264" s="122"/>
      <c r="F264" s="122"/>
      <c r="G264" s="126"/>
      <c r="H264" s="123"/>
      <c r="I264" s="202">
        <v>1692</v>
      </c>
      <c r="J264" s="182">
        <f t="shared" si="10"/>
        <v>541.44000000000005</v>
      </c>
      <c r="K264" s="182">
        <f t="shared" si="11"/>
        <v>1150.5600000000002</v>
      </c>
      <c r="L264" s="128"/>
      <c r="M264" s="129">
        <f t="shared" si="12"/>
        <v>33018.110000000008</v>
      </c>
    </row>
    <row r="265" spans="1:13" ht="14.25" x14ac:dyDescent="0.2">
      <c r="A265" s="201">
        <v>43581</v>
      </c>
      <c r="B265" s="184"/>
      <c r="C265" s="122"/>
      <c r="D265" s="122"/>
      <c r="E265" s="122"/>
      <c r="F265" s="122"/>
      <c r="G265" s="126"/>
      <c r="H265" s="123"/>
      <c r="I265" s="202">
        <v>308</v>
      </c>
      <c r="J265" s="182">
        <f t="shared" si="10"/>
        <v>98.56</v>
      </c>
      <c r="K265" s="182">
        <f t="shared" si="11"/>
        <v>209.44000000000003</v>
      </c>
      <c r="L265" s="128"/>
      <c r="M265" s="129">
        <f t="shared" si="12"/>
        <v>33227.55000000001</v>
      </c>
    </row>
    <row r="266" spans="1:13" ht="14.25" x14ac:dyDescent="0.2">
      <c r="A266" s="201">
        <v>43582</v>
      </c>
      <c r="B266" s="184"/>
      <c r="C266" s="122"/>
      <c r="D266" s="122"/>
      <c r="E266" s="122"/>
      <c r="F266" s="122"/>
      <c r="G266" s="126"/>
      <c r="H266" s="123"/>
      <c r="I266" s="202">
        <v>100</v>
      </c>
      <c r="J266" s="182">
        <f t="shared" si="10"/>
        <v>32</v>
      </c>
      <c r="K266" s="182">
        <f t="shared" si="11"/>
        <v>68</v>
      </c>
      <c r="L266" s="128"/>
      <c r="M266" s="129">
        <f t="shared" si="12"/>
        <v>33295.55000000001</v>
      </c>
    </row>
    <row r="267" spans="1:13" ht="14.25" x14ac:dyDescent="0.2">
      <c r="A267" s="201"/>
      <c r="B267" s="184"/>
      <c r="C267" s="122"/>
      <c r="D267" s="122"/>
      <c r="E267" s="122"/>
      <c r="F267" s="122"/>
      <c r="G267" s="126"/>
      <c r="H267" s="123"/>
      <c r="I267" s="202"/>
      <c r="J267" s="182">
        <f t="shared" si="10"/>
        <v>0</v>
      </c>
      <c r="K267" s="182"/>
      <c r="L267" s="128"/>
      <c r="M267" s="129">
        <f t="shared" si="12"/>
        <v>33295.55000000001</v>
      </c>
    </row>
    <row r="268" spans="1:13" x14ac:dyDescent="0.2">
      <c r="A268" s="131"/>
      <c r="B268" s="132"/>
      <c r="C268" s="122"/>
      <c r="D268" s="122"/>
      <c r="E268" s="122"/>
      <c r="F268" s="122"/>
      <c r="G268" s="126"/>
      <c r="H268" s="123"/>
      <c r="I268" s="127"/>
      <c r="J268" s="128"/>
      <c r="K268" s="128"/>
      <c r="L268" s="128"/>
      <c r="M268" s="129">
        <f t="shared" si="12"/>
        <v>33295.55000000001</v>
      </c>
    </row>
    <row r="269" spans="1:13" ht="15" x14ac:dyDescent="0.25">
      <c r="A269" s="533" t="s">
        <v>215</v>
      </c>
      <c r="B269" s="534"/>
      <c r="C269" s="534"/>
      <c r="D269" s="534"/>
      <c r="E269" s="534"/>
      <c r="F269" s="534"/>
      <c r="G269" s="534"/>
      <c r="H269" s="534"/>
      <c r="I269" s="534"/>
      <c r="J269" s="534"/>
      <c r="K269" s="534"/>
      <c r="L269" s="534"/>
      <c r="M269" s="129">
        <f t="shared" si="12"/>
        <v>33295.55000000001</v>
      </c>
    </row>
    <row r="270" spans="1:13" ht="15" x14ac:dyDescent="0.25">
      <c r="A270" s="204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129">
        <f t="shared" si="12"/>
        <v>33295.55000000001</v>
      </c>
    </row>
    <row r="271" spans="1:13" x14ac:dyDescent="0.2">
      <c r="A271" s="131"/>
      <c r="B271" s="132"/>
      <c r="C271" s="122"/>
      <c r="D271" s="122"/>
      <c r="E271" s="122"/>
      <c r="F271" s="122"/>
      <c r="G271" s="133"/>
      <c r="H271" s="123"/>
      <c r="I271" s="127"/>
      <c r="J271" s="128"/>
      <c r="K271" s="128"/>
      <c r="L271" s="129"/>
      <c r="M271" s="129">
        <f t="shared" si="12"/>
        <v>33295.55000000001</v>
      </c>
    </row>
    <row r="272" spans="1:13" x14ac:dyDescent="0.2">
      <c r="A272" s="185">
        <v>43228</v>
      </c>
      <c r="B272" s="151" t="s">
        <v>216</v>
      </c>
      <c r="C272" s="152"/>
      <c r="D272" s="186" t="s">
        <v>217</v>
      </c>
      <c r="E272" s="122"/>
      <c r="F272" s="146"/>
      <c r="G272" s="147" t="s">
        <v>218</v>
      </c>
      <c r="H272" s="148" t="s">
        <v>219</v>
      </c>
      <c r="I272" s="127" t="s">
        <v>220</v>
      </c>
      <c r="J272" s="128"/>
      <c r="K272" s="128"/>
      <c r="L272" s="149">
        <v>1040</v>
      </c>
      <c r="M272" s="129">
        <f t="shared" si="12"/>
        <v>32255.55000000001</v>
      </c>
    </row>
    <row r="273" spans="1:13" x14ac:dyDescent="0.2">
      <c r="A273" s="185">
        <v>43236</v>
      </c>
      <c r="B273" s="151" t="s">
        <v>221</v>
      </c>
      <c r="C273" s="152"/>
      <c r="D273" s="186" t="s">
        <v>222</v>
      </c>
      <c r="E273" s="122"/>
      <c r="F273" s="146"/>
      <c r="G273" s="147" t="s">
        <v>223</v>
      </c>
      <c r="H273" s="148" t="s">
        <v>224</v>
      </c>
      <c r="I273" s="127"/>
      <c r="J273" s="128"/>
      <c r="K273" s="128"/>
      <c r="L273" s="149">
        <v>300</v>
      </c>
      <c r="M273" s="129">
        <f t="shared" si="12"/>
        <v>31955.55000000001</v>
      </c>
    </row>
    <row r="274" spans="1:13" x14ac:dyDescent="0.2">
      <c r="A274" s="185">
        <v>43237</v>
      </c>
      <c r="B274" s="151" t="s">
        <v>225</v>
      </c>
      <c r="C274" s="152"/>
      <c r="D274" s="186" t="s">
        <v>226</v>
      </c>
      <c r="E274" s="122"/>
      <c r="F274" s="146"/>
      <c r="G274" s="147" t="s">
        <v>227</v>
      </c>
      <c r="H274" s="148" t="s">
        <v>228</v>
      </c>
      <c r="I274" s="127"/>
      <c r="J274" s="128"/>
      <c r="K274" s="128"/>
      <c r="L274" s="149">
        <v>1700</v>
      </c>
      <c r="M274" s="129">
        <f t="shared" si="12"/>
        <v>30255.55000000001</v>
      </c>
    </row>
    <row r="275" spans="1:13" x14ac:dyDescent="0.2">
      <c r="A275" s="185"/>
      <c r="B275" s="151" t="s">
        <v>229</v>
      </c>
      <c r="C275" s="152"/>
      <c r="D275" s="156" t="s">
        <v>230</v>
      </c>
      <c r="E275" s="147"/>
      <c r="F275" s="148"/>
      <c r="G275" s="133"/>
      <c r="H275" s="148" t="s">
        <v>231</v>
      </c>
      <c r="I275" s="128"/>
      <c r="J275" s="197"/>
      <c r="K275" s="146"/>
      <c r="L275" s="149">
        <v>950</v>
      </c>
      <c r="M275" s="129">
        <f t="shared" si="12"/>
        <v>29305.55000000001</v>
      </c>
    </row>
    <row r="276" spans="1:13" x14ac:dyDescent="0.2">
      <c r="A276" s="185"/>
      <c r="B276" s="151" t="s">
        <v>232</v>
      </c>
      <c r="C276" s="152"/>
      <c r="D276" s="156" t="s">
        <v>233</v>
      </c>
      <c r="E276" s="147"/>
      <c r="F276" s="148"/>
      <c r="G276" s="133"/>
      <c r="H276" s="148" t="s">
        <v>234</v>
      </c>
      <c r="I276" s="128"/>
      <c r="J276" s="197"/>
      <c r="K276" s="146"/>
      <c r="L276" s="149">
        <v>850</v>
      </c>
      <c r="M276" s="129">
        <f t="shared" si="12"/>
        <v>28455.55000000001</v>
      </c>
    </row>
    <row r="277" spans="1:13" x14ac:dyDescent="0.2">
      <c r="A277" s="185">
        <v>43237</v>
      </c>
      <c r="B277" s="151" t="s">
        <v>235</v>
      </c>
      <c r="C277" s="152"/>
      <c r="D277" s="156" t="s">
        <v>236</v>
      </c>
      <c r="E277" s="147"/>
      <c r="F277" s="148"/>
      <c r="G277" s="133" t="s">
        <v>237</v>
      </c>
      <c r="H277" s="123" t="s">
        <v>238</v>
      </c>
      <c r="I277" s="128"/>
      <c r="J277" s="197"/>
      <c r="K277" s="146"/>
      <c r="L277" s="149">
        <v>800</v>
      </c>
      <c r="M277" s="129">
        <f t="shared" si="12"/>
        <v>27655.55000000001</v>
      </c>
    </row>
    <row r="278" spans="1:13" x14ac:dyDescent="0.2">
      <c r="A278" s="206">
        <v>43237</v>
      </c>
      <c r="B278" s="132"/>
      <c r="C278" s="122"/>
      <c r="D278" s="146"/>
      <c r="E278" s="147"/>
      <c r="F278" s="148"/>
      <c r="G278" s="133" t="s">
        <v>239</v>
      </c>
      <c r="H278" s="123" t="s">
        <v>240</v>
      </c>
      <c r="I278" s="128"/>
      <c r="J278" s="197"/>
      <c r="K278" s="146"/>
      <c r="L278" s="149">
        <v>2080</v>
      </c>
      <c r="M278" s="129">
        <f t="shared" si="12"/>
        <v>25575.55000000001</v>
      </c>
    </row>
    <row r="279" spans="1:13" x14ac:dyDescent="0.2">
      <c r="A279" s="185">
        <v>43238</v>
      </c>
      <c r="B279" s="132"/>
      <c r="C279" s="122"/>
      <c r="D279" s="146"/>
      <c r="E279" s="147"/>
      <c r="F279" s="148"/>
      <c r="G279" s="207" t="s">
        <v>241</v>
      </c>
      <c r="H279" s="123" t="s">
        <v>242</v>
      </c>
      <c r="I279" s="128"/>
      <c r="J279" s="197" t="s">
        <v>243</v>
      </c>
      <c r="K279" s="146"/>
      <c r="L279" s="149">
        <v>2096</v>
      </c>
      <c r="M279" s="129">
        <f t="shared" si="12"/>
        <v>23479.55000000001</v>
      </c>
    </row>
    <row r="280" spans="1:13" x14ac:dyDescent="0.2">
      <c r="A280" s="208"/>
      <c r="B280" s="209" t="s">
        <v>244</v>
      </c>
      <c r="C280" s="152"/>
      <c r="D280" s="153"/>
      <c r="E280" s="147"/>
      <c r="F280" s="148"/>
      <c r="G280" s="210" t="s">
        <v>245</v>
      </c>
      <c r="H280" s="123"/>
      <c r="I280" s="128"/>
      <c r="J280" s="197" t="s">
        <v>246</v>
      </c>
      <c r="K280" s="146"/>
      <c r="L280" s="149">
        <v>2794.67</v>
      </c>
      <c r="M280" s="129">
        <f t="shared" si="12"/>
        <v>20684.880000000012</v>
      </c>
    </row>
    <row r="281" spans="1:13" x14ac:dyDescent="0.2">
      <c r="A281" s="131"/>
      <c r="B281" s="132"/>
      <c r="C281" s="122"/>
      <c r="D281" s="146"/>
      <c r="E281" s="147"/>
      <c r="F281" s="148"/>
      <c r="G281" s="133"/>
      <c r="H281" s="123"/>
      <c r="I281" s="128"/>
      <c r="J281" s="197" t="s">
        <v>64</v>
      </c>
      <c r="K281" s="146"/>
      <c r="L281" s="149">
        <v>1048</v>
      </c>
      <c r="M281" s="129">
        <f t="shared" si="12"/>
        <v>19636.880000000012</v>
      </c>
    </row>
    <row r="282" spans="1:13" x14ac:dyDescent="0.2">
      <c r="A282" s="131"/>
      <c r="B282" s="132"/>
      <c r="C282" s="122"/>
      <c r="D282" s="146"/>
      <c r="E282" s="147"/>
      <c r="F282" s="148"/>
      <c r="G282" s="133"/>
      <c r="H282" s="123"/>
      <c r="I282" s="128"/>
      <c r="J282" s="197" t="s">
        <v>65</v>
      </c>
      <c r="K282" s="146"/>
      <c r="L282" s="149">
        <v>1048</v>
      </c>
      <c r="M282" s="129">
        <f t="shared" si="12"/>
        <v>18588.880000000012</v>
      </c>
    </row>
    <row r="283" spans="1:13" x14ac:dyDescent="0.2">
      <c r="A283" s="131"/>
      <c r="B283" s="132"/>
      <c r="C283" s="122"/>
      <c r="D283" s="146"/>
      <c r="E283" s="147"/>
      <c r="F283" s="148"/>
      <c r="G283" s="207" t="s">
        <v>241</v>
      </c>
      <c r="H283" s="123" t="s">
        <v>247</v>
      </c>
      <c r="I283" s="128"/>
      <c r="J283" s="197" t="s">
        <v>243</v>
      </c>
      <c r="K283" s="146"/>
      <c r="L283" s="149">
        <v>1459.96</v>
      </c>
      <c r="M283" s="129">
        <f t="shared" si="12"/>
        <v>17128.920000000013</v>
      </c>
    </row>
    <row r="284" spans="1:13" x14ac:dyDescent="0.2">
      <c r="A284" s="131"/>
      <c r="B284" s="208"/>
      <c r="C284" s="209" t="s">
        <v>244</v>
      </c>
      <c r="D284" s="122"/>
      <c r="E284" s="147"/>
      <c r="F284" s="148"/>
      <c r="G284" s="210" t="s">
        <v>248</v>
      </c>
      <c r="H284" s="123"/>
      <c r="I284" s="128"/>
      <c r="J284" s="197" t="s">
        <v>249</v>
      </c>
      <c r="K284" s="146"/>
      <c r="L284" s="149">
        <v>1946.61</v>
      </c>
      <c r="M284" s="129">
        <f t="shared" si="12"/>
        <v>15182.310000000012</v>
      </c>
    </row>
    <row r="285" spans="1:13" x14ac:dyDescent="0.2">
      <c r="A285" s="131"/>
      <c r="B285" s="132"/>
      <c r="C285" s="122"/>
      <c r="D285" s="146"/>
      <c r="E285" s="147"/>
      <c r="F285" s="148"/>
      <c r="G285" s="133"/>
      <c r="H285" s="123"/>
      <c r="I285" s="128"/>
      <c r="J285" s="197" t="s">
        <v>64</v>
      </c>
      <c r="K285" s="146"/>
      <c r="L285" s="149">
        <v>729.98</v>
      </c>
      <c r="M285" s="129">
        <f t="shared" si="12"/>
        <v>14452.330000000013</v>
      </c>
    </row>
    <row r="286" spans="1:13" x14ac:dyDescent="0.2">
      <c r="A286" s="131"/>
      <c r="B286" s="132"/>
      <c r="C286" s="122"/>
      <c r="D286" s="146"/>
      <c r="E286" s="147"/>
      <c r="F286" s="148"/>
      <c r="G286" s="133"/>
      <c r="H286" s="123"/>
      <c r="I286" s="128"/>
      <c r="J286" s="197" t="s">
        <v>65</v>
      </c>
      <c r="K286" s="146"/>
      <c r="L286" s="149">
        <v>729.98</v>
      </c>
      <c r="M286" s="129">
        <f t="shared" si="12"/>
        <v>13722.350000000013</v>
      </c>
    </row>
    <row r="287" spans="1:13" x14ac:dyDescent="0.2">
      <c r="A287" s="131"/>
      <c r="B287" s="132"/>
      <c r="C287" s="122"/>
      <c r="D287" s="146"/>
      <c r="E287" s="147"/>
      <c r="F287" s="148"/>
      <c r="G287" s="133"/>
      <c r="H287" s="123"/>
      <c r="I287" s="128"/>
      <c r="J287" s="197"/>
      <c r="K287" s="146"/>
      <c r="L287" s="149"/>
      <c r="M287" s="129">
        <f t="shared" si="12"/>
        <v>13722.350000000013</v>
      </c>
    </row>
    <row r="288" spans="1:13" ht="13.5" thickBot="1" x14ac:dyDescent="0.25">
      <c r="A288" s="131"/>
      <c r="B288" s="132"/>
      <c r="C288" s="122"/>
      <c r="D288" s="122"/>
      <c r="E288" s="122"/>
      <c r="F288" s="122"/>
      <c r="G288" s="133"/>
      <c r="H288" s="123"/>
      <c r="I288" s="127"/>
      <c r="J288" s="128"/>
      <c r="K288" s="128"/>
      <c r="L288" s="149"/>
      <c r="M288" s="129"/>
    </row>
    <row r="289" spans="1:13" ht="13.5" thickBot="1" x14ac:dyDescent="0.25">
      <c r="A289" s="115"/>
      <c r="B289" s="116"/>
      <c r="C289" s="117"/>
      <c r="D289" s="117"/>
      <c r="E289" s="157"/>
      <c r="F289" s="158"/>
      <c r="G289" s="159"/>
      <c r="H289" s="160" t="s">
        <v>250</v>
      </c>
      <c r="I289" s="161">
        <f>SUM(I226:I288)</f>
        <v>28380.5</v>
      </c>
      <c r="J289" s="162">
        <f>SUM(J226:J288)</f>
        <v>9081.76</v>
      </c>
      <c r="K289" s="163">
        <f>SUM(K226:K267)</f>
        <v>19298.740000000002</v>
      </c>
      <c r="L289" s="164">
        <f>SUM(L271:L288)</f>
        <v>19573.2</v>
      </c>
      <c r="M289" s="165"/>
    </row>
    <row r="290" spans="1:13" ht="13.5" thickBot="1" x14ac:dyDescent="0.25">
      <c r="A290" s="166"/>
      <c r="C290" s="168"/>
      <c r="D290" s="168"/>
      <c r="E290" s="169"/>
      <c r="F290" s="170"/>
      <c r="G290" s="171"/>
      <c r="H290" s="160" t="s">
        <v>13</v>
      </c>
      <c r="I290" s="172"/>
      <c r="J290" s="173"/>
      <c r="K290" s="174"/>
      <c r="L290" s="174"/>
      <c r="M290" s="175">
        <f>+K289-L289+M225</f>
        <v>13722.350000000013</v>
      </c>
    </row>
    <row r="291" spans="1:13" x14ac:dyDescent="0.2">
      <c r="A291" s="166"/>
      <c r="C291" s="168"/>
      <c r="D291" s="168"/>
      <c r="E291" s="169"/>
      <c r="F291" s="170"/>
      <c r="G291" s="171"/>
      <c r="H291" s="171"/>
      <c r="I291" s="189"/>
      <c r="J291" s="188"/>
      <c r="K291" s="180"/>
      <c r="L291" s="180"/>
      <c r="M291" s="189"/>
    </row>
    <row r="292" spans="1:13" x14ac:dyDescent="0.2">
      <c r="A292" s="527" t="s">
        <v>95</v>
      </c>
      <c r="B292" s="528"/>
      <c r="C292" s="528"/>
      <c r="D292" s="528"/>
      <c r="E292" s="528"/>
      <c r="F292" s="528"/>
      <c r="G292" s="528"/>
      <c r="H292" s="528"/>
      <c r="I292" s="528"/>
      <c r="J292" s="528"/>
      <c r="K292" s="528"/>
      <c r="L292" s="528"/>
      <c r="M292" s="529"/>
    </row>
    <row r="293" spans="1:13" x14ac:dyDescent="0.2">
      <c r="A293" s="530"/>
      <c r="B293" s="531"/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2"/>
    </row>
    <row r="294" spans="1:13" ht="15" x14ac:dyDescent="0.25">
      <c r="A294" s="533" t="s">
        <v>251</v>
      </c>
      <c r="B294" s="534"/>
      <c r="C294" s="534"/>
      <c r="D294" s="534"/>
      <c r="E294" s="534"/>
      <c r="F294" s="534"/>
      <c r="G294" s="534"/>
      <c r="H294" s="534"/>
      <c r="I294" s="534"/>
      <c r="J294" s="534"/>
      <c r="K294" s="534"/>
      <c r="L294" s="534"/>
      <c r="M294" s="534"/>
    </row>
    <row r="295" spans="1:13" x14ac:dyDescent="0.2">
      <c r="A295" s="115" t="s">
        <v>1</v>
      </c>
      <c r="B295" s="116" t="s">
        <v>2</v>
      </c>
      <c r="C295" s="117" t="s">
        <v>3</v>
      </c>
      <c r="D295" s="117" t="s">
        <v>4</v>
      </c>
      <c r="E295" s="117" t="s">
        <v>96</v>
      </c>
      <c r="F295" s="117" t="s">
        <v>5</v>
      </c>
      <c r="G295" s="118" t="s">
        <v>97</v>
      </c>
      <c r="H295" s="118" t="s">
        <v>6</v>
      </c>
      <c r="I295" s="117" t="s">
        <v>7</v>
      </c>
      <c r="J295" s="117" t="s">
        <v>8</v>
      </c>
      <c r="K295" s="117" t="s">
        <v>9</v>
      </c>
      <c r="L295" s="119" t="s">
        <v>10</v>
      </c>
      <c r="M295" s="117" t="s">
        <v>11</v>
      </c>
    </row>
    <row r="296" spans="1:13" x14ac:dyDescent="0.2">
      <c r="A296" s="120"/>
      <c r="B296" s="121"/>
      <c r="C296" s="122"/>
      <c r="D296" s="122"/>
      <c r="E296" s="122"/>
      <c r="F296" s="122"/>
      <c r="G296" s="101"/>
      <c r="H296" s="123"/>
      <c r="I296" s="124"/>
      <c r="J296" s="125"/>
      <c r="K296" s="125"/>
      <c r="L296" s="125"/>
      <c r="M296" s="124">
        <f>M290</f>
        <v>13722.350000000013</v>
      </c>
    </row>
    <row r="297" spans="1:13" ht="14.25" x14ac:dyDescent="0.2">
      <c r="A297" s="201">
        <v>43222</v>
      </c>
      <c r="B297" s="184" t="s">
        <v>252</v>
      </c>
      <c r="C297" s="126"/>
      <c r="D297" s="122"/>
      <c r="E297" s="122"/>
      <c r="F297" s="122"/>
      <c r="G297" s="126" t="s">
        <v>253</v>
      </c>
      <c r="H297" s="122"/>
      <c r="I297" s="203">
        <v>164</v>
      </c>
      <c r="J297" s="182">
        <f>+I297*0.32</f>
        <v>52.480000000000004</v>
      </c>
      <c r="K297" s="182">
        <f>+I297*0.68</f>
        <v>111.52000000000001</v>
      </c>
      <c r="L297" s="128"/>
      <c r="M297" s="129">
        <f>+K297-L297+M296</f>
        <v>13833.870000000014</v>
      </c>
    </row>
    <row r="298" spans="1:13" ht="14.25" x14ac:dyDescent="0.2">
      <c r="A298" s="201">
        <v>43235</v>
      </c>
      <c r="B298" s="184" t="s">
        <v>252</v>
      </c>
      <c r="C298" s="126"/>
      <c r="D298" s="122"/>
      <c r="E298" s="122"/>
      <c r="F298" s="122"/>
      <c r="G298" s="126" t="s">
        <v>253</v>
      </c>
      <c r="H298" s="122"/>
      <c r="I298" s="190">
        <v>164</v>
      </c>
      <c r="J298" s="182">
        <f>+I298*0.32</f>
        <v>52.480000000000004</v>
      </c>
      <c r="K298" s="182">
        <f>+I298*0.68</f>
        <v>111.52000000000001</v>
      </c>
      <c r="L298" s="128"/>
      <c r="M298" s="129">
        <f>+K298-L298+M297</f>
        <v>13945.390000000014</v>
      </c>
    </row>
    <row r="299" spans="1:13" ht="14.25" x14ac:dyDescent="0.2">
      <c r="A299" s="201">
        <v>43237</v>
      </c>
      <c r="B299" s="184" t="s">
        <v>254</v>
      </c>
      <c r="C299" s="126"/>
      <c r="D299" s="122"/>
      <c r="E299" s="183"/>
      <c r="F299" s="183"/>
      <c r="G299" s="126" t="s">
        <v>255</v>
      </c>
      <c r="H299" s="122"/>
      <c r="I299" s="190">
        <v>308</v>
      </c>
      <c r="J299" s="182">
        <f t="shared" ref="J299:J308" si="13">+I299*0.32</f>
        <v>98.56</v>
      </c>
      <c r="K299" s="182">
        <f t="shared" ref="K299:K324" si="14">+I299*0.68</f>
        <v>209.44000000000003</v>
      </c>
      <c r="L299" s="128"/>
      <c r="M299" s="129">
        <f t="shared" ref="M299:M340" si="15">+K299-L299+M298</f>
        <v>14154.830000000014</v>
      </c>
    </row>
    <row r="300" spans="1:13" ht="14.25" x14ac:dyDescent="0.2">
      <c r="A300" s="201">
        <v>43238</v>
      </c>
      <c r="B300" s="184" t="s">
        <v>254</v>
      </c>
      <c r="C300" s="126"/>
      <c r="D300" s="122"/>
      <c r="E300" s="122"/>
      <c r="F300" s="122"/>
      <c r="G300" s="126" t="s">
        <v>255</v>
      </c>
      <c r="H300" s="122"/>
      <c r="I300" s="190">
        <v>924</v>
      </c>
      <c r="J300" s="182">
        <f t="shared" si="13"/>
        <v>295.68</v>
      </c>
      <c r="K300" s="182">
        <f t="shared" si="14"/>
        <v>628.32000000000005</v>
      </c>
      <c r="L300" s="128"/>
      <c r="M300" s="129">
        <f t="shared" si="15"/>
        <v>14783.150000000014</v>
      </c>
    </row>
    <row r="301" spans="1:13" ht="14.25" x14ac:dyDescent="0.2">
      <c r="A301" s="201">
        <v>43239</v>
      </c>
      <c r="B301" s="184" t="s">
        <v>254</v>
      </c>
      <c r="C301" s="126"/>
      <c r="D301" s="122"/>
      <c r="E301" s="122"/>
      <c r="F301" s="122"/>
      <c r="G301" s="126" t="s">
        <v>255</v>
      </c>
      <c r="H301" s="122"/>
      <c r="I301" s="190">
        <v>308</v>
      </c>
      <c r="J301" s="182">
        <f t="shared" si="13"/>
        <v>98.56</v>
      </c>
      <c r="K301" s="182">
        <f t="shared" si="14"/>
        <v>209.44000000000003</v>
      </c>
      <c r="L301" s="128"/>
      <c r="M301" s="129">
        <f t="shared" si="15"/>
        <v>14992.590000000015</v>
      </c>
    </row>
    <row r="302" spans="1:13" ht="14.25" x14ac:dyDescent="0.2">
      <c r="A302" s="201">
        <v>43241</v>
      </c>
      <c r="B302" s="184" t="s">
        <v>254</v>
      </c>
      <c r="C302" s="126"/>
      <c r="D302" s="122"/>
      <c r="E302" s="122"/>
      <c r="F302" s="122"/>
      <c r="G302" s="126" t="s">
        <v>255</v>
      </c>
      <c r="H302" s="122"/>
      <c r="I302" s="190">
        <v>360</v>
      </c>
      <c r="J302" s="182">
        <f t="shared" si="13"/>
        <v>115.2</v>
      </c>
      <c r="K302" s="182">
        <f t="shared" si="14"/>
        <v>244.8</v>
      </c>
      <c r="L302" s="128"/>
      <c r="M302" s="129">
        <f t="shared" si="15"/>
        <v>15237.390000000014</v>
      </c>
    </row>
    <row r="303" spans="1:13" ht="14.25" x14ac:dyDescent="0.2">
      <c r="A303" s="201">
        <v>43242</v>
      </c>
      <c r="B303" s="184" t="s">
        <v>254</v>
      </c>
      <c r="C303" s="126"/>
      <c r="D303" s="122"/>
      <c r="E303" s="122"/>
      <c r="F303" s="122"/>
      <c r="G303" s="126" t="s">
        <v>255</v>
      </c>
      <c r="H303" s="122"/>
      <c r="I303" s="190">
        <v>144</v>
      </c>
      <c r="J303" s="182">
        <f t="shared" si="13"/>
        <v>46.08</v>
      </c>
      <c r="K303" s="182">
        <f t="shared" si="14"/>
        <v>97.92</v>
      </c>
      <c r="L303" s="128"/>
      <c r="M303" s="129">
        <f t="shared" si="15"/>
        <v>15335.310000000014</v>
      </c>
    </row>
    <row r="304" spans="1:13" ht="14.25" x14ac:dyDescent="0.2">
      <c r="A304" s="201">
        <v>43243</v>
      </c>
      <c r="B304" s="184" t="s">
        <v>254</v>
      </c>
      <c r="C304" s="126"/>
      <c r="D304" s="122"/>
      <c r="E304" s="122"/>
      <c r="F304" s="122"/>
      <c r="G304" s="126" t="s">
        <v>255</v>
      </c>
      <c r="H304" s="122"/>
      <c r="I304" s="190">
        <v>452</v>
      </c>
      <c r="J304" s="182">
        <f t="shared" si="13"/>
        <v>144.64000000000001</v>
      </c>
      <c r="K304" s="182">
        <f t="shared" si="14"/>
        <v>307.36</v>
      </c>
      <c r="L304" s="128"/>
      <c r="M304" s="129">
        <f t="shared" si="15"/>
        <v>15642.670000000015</v>
      </c>
    </row>
    <row r="305" spans="1:13" ht="14.25" x14ac:dyDescent="0.2">
      <c r="A305" s="201">
        <v>43244</v>
      </c>
      <c r="B305" s="184" t="s">
        <v>254</v>
      </c>
      <c r="C305" s="126"/>
      <c r="D305" s="122"/>
      <c r="E305" s="122"/>
      <c r="F305" s="122"/>
      <c r="G305" s="126" t="s">
        <v>255</v>
      </c>
      <c r="H305" s="122"/>
      <c r="I305" s="190">
        <v>308</v>
      </c>
      <c r="J305" s="182">
        <f t="shared" si="13"/>
        <v>98.56</v>
      </c>
      <c r="K305" s="182">
        <f t="shared" si="14"/>
        <v>209.44000000000003</v>
      </c>
      <c r="L305" s="128"/>
      <c r="M305" s="129">
        <f t="shared" si="15"/>
        <v>15852.110000000015</v>
      </c>
    </row>
    <row r="306" spans="1:13" ht="14.25" x14ac:dyDescent="0.2">
      <c r="A306" s="201">
        <v>43245</v>
      </c>
      <c r="B306" s="184" t="s">
        <v>254</v>
      </c>
      <c r="C306" s="126"/>
      <c r="D306" s="122"/>
      <c r="E306" s="122"/>
      <c r="F306" s="122"/>
      <c r="G306" s="126" t="s">
        <v>255</v>
      </c>
      <c r="H306" s="122"/>
      <c r="I306" s="190">
        <v>144</v>
      </c>
      <c r="J306" s="182">
        <f t="shared" si="13"/>
        <v>46.08</v>
      </c>
      <c r="K306" s="182">
        <f t="shared" si="14"/>
        <v>97.92</v>
      </c>
      <c r="L306" s="128"/>
      <c r="M306" s="129">
        <f t="shared" si="15"/>
        <v>15950.030000000015</v>
      </c>
    </row>
    <row r="307" spans="1:13" ht="14.25" x14ac:dyDescent="0.2">
      <c r="A307" s="201">
        <v>43246</v>
      </c>
      <c r="B307" s="184" t="s">
        <v>254</v>
      </c>
      <c r="C307" s="126"/>
      <c r="D307" s="135"/>
      <c r="E307" s="122"/>
      <c r="F307" s="122"/>
      <c r="G307" s="126" t="s">
        <v>255</v>
      </c>
      <c r="H307" s="135"/>
      <c r="I307" s="190">
        <v>450</v>
      </c>
      <c r="J307" s="182">
        <f t="shared" si="13"/>
        <v>144</v>
      </c>
      <c r="K307" s="182">
        <f t="shared" si="14"/>
        <v>306</v>
      </c>
      <c r="L307" s="128"/>
      <c r="M307" s="129">
        <f t="shared" si="15"/>
        <v>16256.030000000015</v>
      </c>
    </row>
    <row r="308" spans="1:13" ht="14.25" x14ac:dyDescent="0.2">
      <c r="A308" s="201">
        <v>43248</v>
      </c>
      <c r="B308" s="184" t="s">
        <v>254</v>
      </c>
      <c r="C308" s="126"/>
      <c r="D308" s="135"/>
      <c r="E308" s="122"/>
      <c r="F308" s="122"/>
      <c r="G308" s="126" t="s">
        <v>255</v>
      </c>
      <c r="H308" s="135"/>
      <c r="I308" s="203">
        <v>308</v>
      </c>
      <c r="J308" s="182">
        <f t="shared" si="13"/>
        <v>98.56</v>
      </c>
      <c r="K308" s="182">
        <f t="shared" si="14"/>
        <v>209.44000000000003</v>
      </c>
      <c r="L308" s="128"/>
      <c r="M308" s="129">
        <f t="shared" si="15"/>
        <v>16465.470000000016</v>
      </c>
    </row>
    <row r="309" spans="1:13" ht="14.25" x14ac:dyDescent="0.2">
      <c r="A309" s="201">
        <v>43251</v>
      </c>
      <c r="B309" s="184" t="s">
        <v>254</v>
      </c>
      <c r="C309" s="126"/>
      <c r="D309" s="135"/>
      <c r="E309" s="122"/>
      <c r="F309" s="122"/>
      <c r="G309" s="126" t="s">
        <v>255</v>
      </c>
      <c r="H309" s="135"/>
      <c r="I309" s="203">
        <v>678</v>
      </c>
      <c r="J309" s="182">
        <f>+I309*0.32</f>
        <v>216.96</v>
      </c>
      <c r="K309" s="182">
        <f t="shared" si="14"/>
        <v>461.04</v>
      </c>
      <c r="L309" s="128"/>
      <c r="M309" s="129">
        <f t="shared" si="15"/>
        <v>16926.510000000017</v>
      </c>
    </row>
    <row r="310" spans="1:13" ht="14.25" x14ac:dyDescent="0.2">
      <c r="A310" s="201">
        <v>43588</v>
      </c>
      <c r="B310" s="184"/>
      <c r="C310" s="126"/>
      <c r="D310" s="135"/>
      <c r="E310" s="122"/>
      <c r="F310" s="122"/>
      <c r="G310" s="126"/>
      <c r="H310" s="135"/>
      <c r="I310" s="202">
        <v>860</v>
      </c>
      <c r="J310" s="182">
        <f t="shared" ref="J310:J324" si="16">+I310*0.32</f>
        <v>275.2</v>
      </c>
      <c r="K310" s="182">
        <f t="shared" si="14"/>
        <v>584.80000000000007</v>
      </c>
      <c r="L310" s="128"/>
      <c r="M310" s="129">
        <f t="shared" si="15"/>
        <v>17511.310000000016</v>
      </c>
    </row>
    <row r="311" spans="1:13" ht="14.25" x14ac:dyDescent="0.2">
      <c r="A311" s="201">
        <v>43590</v>
      </c>
      <c r="B311" s="184"/>
      <c r="C311" s="126"/>
      <c r="D311" s="135"/>
      <c r="E311" s="211"/>
      <c r="F311" s="122"/>
      <c r="G311" s="126"/>
      <c r="H311" s="135"/>
      <c r="I311" s="202">
        <v>164</v>
      </c>
      <c r="J311" s="182">
        <f t="shared" si="16"/>
        <v>52.480000000000004</v>
      </c>
      <c r="K311" s="182">
        <f t="shared" si="14"/>
        <v>111.52000000000001</v>
      </c>
      <c r="L311" s="128"/>
      <c r="M311" s="129">
        <f t="shared" si="15"/>
        <v>17622.830000000016</v>
      </c>
    </row>
    <row r="312" spans="1:13" ht="14.25" x14ac:dyDescent="0.2">
      <c r="A312" s="201">
        <v>43595</v>
      </c>
      <c r="B312" s="184"/>
      <c r="C312" s="126"/>
      <c r="D312" s="135"/>
      <c r="E312" s="211"/>
      <c r="F312" s="122"/>
      <c r="G312" s="126"/>
      <c r="H312" s="135"/>
      <c r="I312" s="202">
        <v>318</v>
      </c>
      <c r="J312" s="182">
        <f t="shared" si="16"/>
        <v>101.76</v>
      </c>
      <c r="K312" s="182">
        <f t="shared" si="14"/>
        <v>216.24</v>
      </c>
      <c r="L312" s="128"/>
      <c r="M312" s="129">
        <f t="shared" si="15"/>
        <v>17839.070000000018</v>
      </c>
    </row>
    <row r="313" spans="1:13" ht="14.25" x14ac:dyDescent="0.2">
      <c r="A313" s="201">
        <v>43596</v>
      </c>
      <c r="B313" s="184"/>
      <c r="C313" s="126"/>
      <c r="D313" s="135"/>
      <c r="E313" s="211"/>
      <c r="F313" s="122"/>
      <c r="G313" s="126"/>
      <c r="H313" s="135"/>
      <c r="I313" s="202">
        <v>20</v>
      </c>
      <c r="J313" s="182">
        <f t="shared" si="16"/>
        <v>6.4</v>
      </c>
      <c r="K313" s="182">
        <f t="shared" si="14"/>
        <v>13.600000000000001</v>
      </c>
      <c r="L313" s="128"/>
      <c r="M313" s="129">
        <f t="shared" si="15"/>
        <v>17852.670000000016</v>
      </c>
    </row>
    <row r="314" spans="1:13" ht="14.25" x14ac:dyDescent="0.2">
      <c r="A314" s="201">
        <v>43569</v>
      </c>
      <c r="B314" s="184"/>
      <c r="C314" s="126"/>
      <c r="D314" s="135"/>
      <c r="E314" s="211"/>
      <c r="F314" s="122"/>
      <c r="G314" s="126"/>
      <c r="H314" s="135"/>
      <c r="I314" s="202">
        <v>284</v>
      </c>
      <c r="J314" s="182">
        <f t="shared" si="16"/>
        <v>90.88</v>
      </c>
      <c r="K314" s="182">
        <f t="shared" si="14"/>
        <v>193.12</v>
      </c>
      <c r="L314" s="128"/>
      <c r="M314" s="129">
        <f t="shared" si="15"/>
        <v>18045.790000000015</v>
      </c>
    </row>
    <row r="315" spans="1:13" ht="14.25" x14ac:dyDescent="0.2">
      <c r="A315" s="201">
        <v>43571</v>
      </c>
      <c r="B315" s="184"/>
      <c r="C315" s="126"/>
      <c r="D315" s="135"/>
      <c r="E315" s="211"/>
      <c r="F315" s="122"/>
      <c r="G315" s="126"/>
      <c r="H315" s="135"/>
      <c r="I315" s="202">
        <v>1252</v>
      </c>
      <c r="J315" s="182">
        <f t="shared" si="16"/>
        <v>400.64</v>
      </c>
      <c r="K315" s="182">
        <f t="shared" si="14"/>
        <v>851.36</v>
      </c>
      <c r="L315" s="128"/>
      <c r="M315" s="129">
        <f t="shared" si="15"/>
        <v>18897.150000000016</v>
      </c>
    </row>
    <row r="316" spans="1:13" ht="14.25" x14ac:dyDescent="0.2">
      <c r="A316" s="201">
        <v>43573</v>
      </c>
      <c r="B316" s="184"/>
      <c r="C316" s="126"/>
      <c r="D316" s="135"/>
      <c r="E316" s="211"/>
      <c r="F316" s="122"/>
      <c r="G316" s="126"/>
      <c r="H316" s="135"/>
      <c r="I316" s="202">
        <v>616</v>
      </c>
      <c r="J316" s="182">
        <f t="shared" si="16"/>
        <v>197.12</v>
      </c>
      <c r="K316" s="182">
        <f t="shared" si="14"/>
        <v>418.88000000000005</v>
      </c>
      <c r="L316" s="128"/>
      <c r="M316" s="129">
        <f t="shared" si="15"/>
        <v>19316.030000000017</v>
      </c>
    </row>
    <row r="317" spans="1:13" ht="14.25" x14ac:dyDescent="0.2">
      <c r="A317" s="201">
        <v>43606</v>
      </c>
      <c r="B317" s="184"/>
      <c r="C317" s="126"/>
      <c r="D317" s="135"/>
      <c r="E317" s="211"/>
      <c r="F317" s="122"/>
      <c r="G317" s="126"/>
      <c r="H317" s="135"/>
      <c r="I317" s="202">
        <v>616</v>
      </c>
      <c r="J317" s="182">
        <f t="shared" si="16"/>
        <v>197.12</v>
      </c>
      <c r="K317" s="182">
        <f t="shared" si="14"/>
        <v>418.88000000000005</v>
      </c>
      <c r="L317" s="128"/>
      <c r="M317" s="129">
        <f t="shared" si="15"/>
        <v>19734.910000000018</v>
      </c>
    </row>
    <row r="318" spans="1:13" ht="14.25" x14ac:dyDescent="0.2">
      <c r="A318" s="201">
        <v>43607</v>
      </c>
      <c r="B318" s="184"/>
      <c r="C318" s="126"/>
      <c r="D318" s="135"/>
      <c r="E318" s="211"/>
      <c r="F318" s="122"/>
      <c r="G318" s="126"/>
      <c r="H318" s="135"/>
      <c r="I318" s="202">
        <v>458</v>
      </c>
      <c r="J318" s="182">
        <f t="shared" si="16"/>
        <v>146.56</v>
      </c>
      <c r="K318" s="182">
        <f t="shared" si="14"/>
        <v>311.44</v>
      </c>
      <c r="L318" s="128"/>
      <c r="M318" s="129">
        <f t="shared" si="15"/>
        <v>20046.350000000017</v>
      </c>
    </row>
    <row r="319" spans="1:13" ht="14.25" x14ac:dyDescent="0.2">
      <c r="A319" s="201">
        <v>43608</v>
      </c>
      <c r="B319" s="184"/>
      <c r="C319" s="126"/>
      <c r="D319" s="135"/>
      <c r="E319" s="211"/>
      <c r="F319" s="122"/>
      <c r="G319" s="126"/>
      <c r="H319" s="135"/>
      <c r="I319" s="202">
        <v>808</v>
      </c>
      <c r="J319" s="182">
        <f t="shared" si="16"/>
        <v>258.56</v>
      </c>
      <c r="K319" s="182">
        <f t="shared" si="14"/>
        <v>549.44000000000005</v>
      </c>
      <c r="L319" s="128"/>
      <c r="M319" s="129">
        <f t="shared" si="15"/>
        <v>20595.790000000015</v>
      </c>
    </row>
    <row r="320" spans="1:13" ht="14.25" x14ac:dyDescent="0.2">
      <c r="A320" s="201">
        <v>43609</v>
      </c>
      <c r="B320" s="184"/>
      <c r="C320" s="126"/>
      <c r="D320" s="135"/>
      <c r="E320" s="211"/>
      <c r="F320" s="122"/>
      <c r="G320" s="126"/>
      <c r="H320" s="135"/>
      <c r="I320" s="202">
        <v>460</v>
      </c>
      <c r="J320" s="182">
        <f t="shared" si="16"/>
        <v>147.20000000000002</v>
      </c>
      <c r="K320" s="182">
        <f t="shared" si="14"/>
        <v>312.8</v>
      </c>
      <c r="L320" s="128"/>
      <c r="M320" s="129">
        <f t="shared" si="15"/>
        <v>20908.590000000015</v>
      </c>
    </row>
    <row r="321" spans="1:13" ht="14.25" x14ac:dyDescent="0.2">
      <c r="A321" s="201">
        <v>43610</v>
      </c>
      <c r="B321" s="184"/>
      <c r="C321" s="126"/>
      <c r="D321" s="135"/>
      <c r="E321" s="211"/>
      <c r="F321" s="122"/>
      <c r="G321" s="126"/>
      <c r="H321" s="135"/>
      <c r="I321" s="202">
        <v>370</v>
      </c>
      <c r="J321" s="182">
        <f t="shared" si="16"/>
        <v>118.4</v>
      </c>
      <c r="K321" s="182">
        <f t="shared" si="14"/>
        <v>251.60000000000002</v>
      </c>
      <c r="L321" s="128"/>
      <c r="M321" s="129">
        <f t="shared" si="15"/>
        <v>21160.190000000013</v>
      </c>
    </row>
    <row r="322" spans="1:13" ht="14.25" x14ac:dyDescent="0.2">
      <c r="A322" s="201">
        <v>43613</v>
      </c>
      <c r="B322" s="184"/>
      <c r="C322" s="126"/>
      <c r="D322" s="135"/>
      <c r="E322" s="211"/>
      <c r="F322" s="122"/>
      <c r="G322" s="126"/>
      <c r="H322" s="135"/>
      <c r="I322" s="202">
        <v>308</v>
      </c>
      <c r="J322" s="182">
        <f t="shared" si="16"/>
        <v>98.56</v>
      </c>
      <c r="K322" s="182">
        <f t="shared" si="14"/>
        <v>209.44000000000003</v>
      </c>
      <c r="L322" s="128"/>
      <c r="M322" s="129">
        <f t="shared" si="15"/>
        <v>21369.630000000012</v>
      </c>
    </row>
    <row r="323" spans="1:13" ht="14.25" x14ac:dyDescent="0.2">
      <c r="A323" s="201">
        <v>43615</v>
      </c>
      <c r="B323" s="184"/>
      <c r="C323" s="126"/>
      <c r="D323" s="135"/>
      <c r="E323" s="211"/>
      <c r="F323" s="122"/>
      <c r="G323" s="126"/>
      <c r="H323" s="135"/>
      <c r="I323" s="202">
        <v>144</v>
      </c>
      <c r="J323" s="182">
        <f t="shared" si="16"/>
        <v>46.08</v>
      </c>
      <c r="K323" s="182">
        <f t="shared" si="14"/>
        <v>97.92</v>
      </c>
      <c r="L323" s="128"/>
      <c r="M323" s="129">
        <f t="shared" si="15"/>
        <v>21467.55000000001</v>
      </c>
    </row>
    <row r="324" spans="1:13" ht="14.25" x14ac:dyDescent="0.2">
      <c r="A324" s="201">
        <v>43616</v>
      </c>
      <c r="B324" s="184"/>
      <c r="C324" s="126"/>
      <c r="D324" s="135"/>
      <c r="E324" s="211"/>
      <c r="F324" s="122"/>
      <c r="G324" s="126"/>
      <c r="H324" s="135"/>
      <c r="I324" s="202">
        <v>800</v>
      </c>
      <c r="J324" s="182">
        <f t="shared" si="16"/>
        <v>256</v>
      </c>
      <c r="K324" s="182">
        <f t="shared" si="14"/>
        <v>544</v>
      </c>
      <c r="L324" s="128"/>
      <c r="M324" s="129">
        <f t="shared" si="15"/>
        <v>22011.55000000001</v>
      </c>
    </row>
    <row r="325" spans="1:13" ht="14.25" x14ac:dyDescent="0.2">
      <c r="A325" s="201"/>
      <c r="B325" s="184"/>
      <c r="C325" s="126"/>
      <c r="D325" s="135"/>
      <c r="E325" s="211"/>
      <c r="F325" s="122"/>
      <c r="G325" s="126"/>
      <c r="H325" s="135"/>
      <c r="I325" s="202"/>
      <c r="J325" s="182"/>
      <c r="K325" s="182"/>
      <c r="L325" s="128"/>
      <c r="M325" s="129">
        <f t="shared" si="15"/>
        <v>22011.55000000001</v>
      </c>
    </row>
    <row r="326" spans="1:13" x14ac:dyDescent="0.2">
      <c r="A326" s="131"/>
      <c r="B326" s="212"/>
      <c r="C326" s="122"/>
      <c r="D326" s="122"/>
      <c r="F326" s="122"/>
      <c r="G326" s="133"/>
      <c r="H326" s="123"/>
      <c r="I326" s="127"/>
      <c r="J326" s="128"/>
      <c r="K326" s="128"/>
      <c r="L326" s="128"/>
      <c r="M326" s="129">
        <f t="shared" si="15"/>
        <v>22011.55000000001</v>
      </c>
    </row>
    <row r="327" spans="1:13" ht="15" x14ac:dyDescent="0.25">
      <c r="A327" s="533" t="s">
        <v>256</v>
      </c>
      <c r="B327" s="534"/>
      <c r="C327" s="534"/>
      <c r="D327" s="534"/>
      <c r="E327" s="534"/>
      <c r="F327" s="534"/>
      <c r="G327" s="534"/>
      <c r="H327" s="534"/>
      <c r="I327" s="534"/>
      <c r="J327" s="534"/>
      <c r="K327" s="534"/>
      <c r="L327" s="534"/>
      <c r="M327" s="129">
        <f t="shared" si="15"/>
        <v>22011.55000000001</v>
      </c>
    </row>
    <row r="328" spans="1:13" ht="15" x14ac:dyDescent="0.25">
      <c r="A328" s="213">
        <v>43249</v>
      </c>
      <c r="B328" s="214"/>
      <c r="C328" s="215" t="s">
        <v>257</v>
      </c>
      <c r="D328" s="214"/>
      <c r="E328" s="215"/>
      <c r="F328" s="215"/>
      <c r="G328" s="216" t="s">
        <v>258</v>
      </c>
      <c r="I328" s="216" t="s">
        <v>259</v>
      </c>
      <c r="J328" s="216"/>
      <c r="K328" s="216"/>
      <c r="L328" s="129">
        <v>500</v>
      </c>
      <c r="M328" s="129">
        <f t="shared" si="15"/>
        <v>21511.55000000001</v>
      </c>
    </row>
    <row r="329" spans="1:13" x14ac:dyDescent="0.2">
      <c r="A329" s="131">
        <v>43249</v>
      </c>
      <c r="B329" s="151" t="s">
        <v>260</v>
      </c>
      <c r="C329" s="152"/>
      <c r="D329" s="186" t="s">
        <v>261</v>
      </c>
      <c r="E329" s="122"/>
      <c r="F329" s="122"/>
      <c r="G329" s="133" t="s">
        <v>262</v>
      </c>
      <c r="H329" s="123" t="s">
        <v>263</v>
      </c>
      <c r="I329" s="127"/>
      <c r="J329" s="128"/>
      <c r="K329" s="128"/>
      <c r="L329" s="129">
        <v>2500</v>
      </c>
      <c r="M329" s="129">
        <f t="shared" si="15"/>
        <v>19011.55000000001</v>
      </c>
    </row>
    <row r="330" spans="1:13" x14ac:dyDescent="0.2">
      <c r="A330" s="185">
        <v>43249</v>
      </c>
      <c r="B330" s="151" t="s">
        <v>264</v>
      </c>
      <c r="C330" s="152"/>
      <c r="D330" s="186" t="s">
        <v>265</v>
      </c>
      <c r="E330" s="122"/>
      <c r="F330" s="146"/>
      <c r="G330" s="147" t="s">
        <v>266</v>
      </c>
      <c r="H330" s="148" t="s">
        <v>267</v>
      </c>
      <c r="I330" s="127"/>
      <c r="J330" s="128"/>
      <c r="K330" s="128"/>
      <c r="L330" s="149">
        <v>400</v>
      </c>
      <c r="M330" s="129">
        <f t="shared" si="15"/>
        <v>18611.55000000001</v>
      </c>
    </row>
    <row r="331" spans="1:13" x14ac:dyDescent="0.2">
      <c r="A331" s="185">
        <v>43251</v>
      </c>
      <c r="B331" s="151" t="s">
        <v>268</v>
      </c>
      <c r="C331" s="152"/>
      <c r="D331" s="186" t="s">
        <v>269</v>
      </c>
      <c r="E331" s="122"/>
      <c r="F331" s="146"/>
      <c r="G331" s="147" t="s">
        <v>270</v>
      </c>
      <c r="H331" s="148" t="s">
        <v>271</v>
      </c>
      <c r="I331" s="127"/>
      <c r="J331" s="128"/>
      <c r="K331" s="128"/>
      <c r="L331" s="149">
        <v>300</v>
      </c>
      <c r="M331" s="129">
        <f t="shared" si="15"/>
        <v>18311.55000000001</v>
      </c>
    </row>
    <row r="332" spans="1:13" x14ac:dyDescent="0.2">
      <c r="A332" s="131">
        <v>43259</v>
      </c>
      <c r="B332" s="217" t="s">
        <v>272</v>
      </c>
      <c r="C332" s="195"/>
      <c r="D332" s="218" t="s">
        <v>273</v>
      </c>
      <c r="E332" s="122"/>
      <c r="F332" s="122"/>
      <c r="G332" s="133" t="s">
        <v>274</v>
      </c>
      <c r="H332" s="123" t="s">
        <v>275</v>
      </c>
      <c r="I332" s="127"/>
      <c r="J332" s="128"/>
      <c r="K332" s="128"/>
      <c r="L332" s="149">
        <v>600</v>
      </c>
      <c r="M332" s="129">
        <f t="shared" si="15"/>
        <v>17711.55000000001</v>
      </c>
    </row>
    <row r="333" spans="1:13" x14ac:dyDescent="0.2">
      <c r="A333" s="131">
        <v>43259</v>
      </c>
      <c r="B333" s="151" t="s">
        <v>276</v>
      </c>
      <c r="C333" s="152"/>
      <c r="D333" s="186" t="s">
        <v>277</v>
      </c>
      <c r="E333" s="122"/>
      <c r="F333" s="122"/>
      <c r="G333" s="133" t="s">
        <v>278</v>
      </c>
      <c r="H333" s="123" t="s">
        <v>279</v>
      </c>
      <c r="I333" s="127"/>
      <c r="J333" s="128"/>
      <c r="K333" s="128"/>
      <c r="L333" s="149">
        <v>1040</v>
      </c>
      <c r="M333" s="129">
        <f t="shared" si="15"/>
        <v>16671.55000000001</v>
      </c>
    </row>
    <row r="334" spans="1:13" x14ac:dyDescent="0.2">
      <c r="A334" s="219">
        <v>43263</v>
      </c>
      <c r="B334" s="220" t="s">
        <v>280</v>
      </c>
      <c r="C334" s="221"/>
      <c r="D334" s="222" t="s">
        <v>281</v>
      </c>
      <c r="E334" s="223"/>
      <c r="F334" s="223"/>
      <c r="G334" s="224" t="s">
        <v>282</v>
      </c>
      <c r="H334" s="225" t="s">
        <v>283</v>
      </c>
      <c r="I334" s="226"/>
      <c r="J334" s="227"/>
      <c r="K334" s="228"/>
      <c r="L334" s="229">
        <v>1040</v>
      </c>
      <c r="M334" s="129">
        <f t="shared" si="15"/>
        <v>15631.55000000001</v>
      </c>
    </row>
    <row r="335" spans="1:13" x14ac:dyDescent="0.2">
      <c r="A335" s="131">
        <v>43263</v>
      </c>
      <c r="B335" s="151" t="s">
        <v>284</v>
      </c>
      <c r="C335" s="152"/>
      <c r="D335" s="186" t="s">
        <v>285</v>
      </c>
      <c r="E335" s="122"/>
      <c r="F335" s="122"/>
      <c r="G335" s="133" t="s">
        <v>286</v>
      </c>
      <c r="H335" s="123" t="s">
        <v>287</v>
      </c>
      <c r="I335" s="127"/>
      <c r="J335" s="128"/>
      <c r="K335" s="128"/>
      <c r="L335" s="149">
        <v>1040</v>
      </c>
      <c r="M335" s="129">
        <f t="shared" si="15"/>
        <v>14591.55000000001</v>
      </c>
    </row>
    <row r="336" spans="1:13" x14ac:dyDescent="0.2">
      <c r="A336" s="131">
        <v>43276</v>
      </c>
      <c r="B336" s="151" t="s">
        <v>288</v>
      </c>
      <c r="C336" s="152"/>
      <c r="D336" s="186" t="s">
        <v>289</v>
      </c>
      <c r="E336" s="122"/>
      <c r="F336" s="122"/>
      <c r="G336" s="133" t="s">
        <v>290</v>
      </c>
      <c r="H336" s="123" t="s">
        <v>291</v>
      </c>
      <c r="I336" s="127"/>
      <c r="J336" s="128"/>
      <c r="K336" s="128"/>
      <c r="L336" s="149">
        <v>1700</v>
      </c>
      <c r="M336" s="129">
        <f t="shared" si="15"/>
        <v>12891.55000000001</v>
      </c>
    </row>
    <row r="337" spans="1:13" x14ac:dyDescent="0.2">
      <c r="A337" s="131">
        <v>43276</v>
      </c>
      <c r="B337" s="151" t="s">
        <v>292</v>
      </c>
      <c r="C337" s="152"/>
      <c r="D337" s="186" t="s">
        <v>293</v>
      </c>
      <c r="E337" s="122"/>
      <c r="F337" s="122"/>
      <c r="G337" s="133" t="s">
        <v>290</v>
      </c>
      <c r="H337" s="123" t="s">
        <v>294</v>
      </c>
      <c r="I337" s="127"/>
      <c r="J337" s="128"/>
      <c r="K337" s="128"/>
      <c r="L337" s="149">
        <v>950</v>
      </c>
      <c r="M337" s="129">
        <f t="shared" si="15"/>
        <v>11941.55000000001</v>
      </c>
    </row>
    <row r="338" spans="1:13" x14ac:dyDescent="0.2">
      <c r="A338" s="131">
        <v>43276</v>
      </c>
      <c r="B338" s="151" t="s">
        <v>295</v>
      </c>
      <c r="C338" s="152"/>
      <c r="D338" s="186" t="s">
        <v>296</v>
      </c>
      <c r="E338" s="122"/>
      <c r="F338" s="122"/>
      <c r="G338" s="133" t="s">
        <v>290</v>
      </c>
      <c r="H338" s="123" t="s">
        <v>297</v>
      </c>
      <c r="I338" s="127"/>
      <c r="J338" s="128"/>
      <c r="K338" s="128"/>
      <c r="L338" s="149">
        <v>850</v>
      </c>
      <c r="M338" s="129">
        <f t="shared" si="15"/>
        <v>11091.55000000001</v>
      </c>
    </row>
    <row r="339" spans="1:13" x14ac:dyDescent="0.2">
      <c r="A339" s="131">
        <v>43276</v>
      </c>
      <c r="B339" s="151" t="s">
        <v>298</v>
      </c>
      <c r="C339" s="152"/>
      <c r="D339" s="186" t="s">
        <v>299</v>
      </c>
      <c r="E339" s="122"/>
      <c r="F339" s="122"/>
      <c r="G339" s="133" t="s">
        <v>300</v>
      </c>
      <c r="H339" s="123" t="s">
        <v>301</v>
      </c>
      <c r="I339" s="127"/>
      <c r="J339" s="128"/>
      <c r="K339" s="128"/>
      <c r="L339" s="149">
        <v>800</v>
      </c>
      <c r="M339" s="129">
        <f t="shared" si="15"/>
        <v>10291.55000000001</v>
      </c>
    </row>
    <row r="340" spans="1:13" x14ac:dyDescent="0.2">
      <c r="A340" s="131">
        <v>43276</v>
      </c>
      <c r="B340" s="151" t="s">
        <v>302</v>
      </c>
      <c r="C340" s="152"/>
      <c r="D340" s="186" t="s">
        <v>303</v>
      </c>
      <c r="E340" s="122"/>
      <c r="F340" s="122"/>
      <c r="G340" s="133" t="s">
        <v>304</v>
      </c>
      <c r="H340" s="148" t="s">
        <v>305</v>
      </c>
      <c r="I340" s="127"/>
      <c r="J340" s="128"/>
      <c r="K340" s="128"/>
      <c r="L340" s="149">
        <v>300</v>
      </c>
      <c r="M340" s="129">
        <f t="shared" si="15"/>
        <v>9991.5500000000102</v>
      </c>
    </row>
    <row r="341" spans="1:13" x14ac:dyDescent="0.2">
      <c r="A341" s="230"/>
      <c r="B341" s="231"/>
      <c r="C341" s="232"/>
      <c r="D341" s="232"/>
      <c r="E341" s="232"/>
      <c r="F341" s="232"/>
      <c r="G341" s="233"/>
      <c r="H341" s="234"/>
      <c r="I341" s="235"/>
      <c r="J341" s="236"/>
      <c r="K341" s="228"/>
      <c r="L341" s="229"/>
      <c r="M341" s="237"/>
    </row>
    <row r="342" spans="1:13" ht="13.5" thickBot="1" x14ac:dyDescent="0.25">
      <c r="A342" s="238"/>
      <c r="B342" s="239"/>
      <c r="C342" s="240"/>
      <c r="D342" s="240"/>
      <c r="E342" s="241"/>
      <c r="F342" s="242"/>
      <c r="G342" s="243"/>
      <c r="H342" s="244" t="s">
        <v>250</v>
      </c>
      <c r="I342" s="161">
        <f>SUM(I297:I333)</f>
        <v>12190</v>
      </c>
      <c r="J342" s="245">
        <f>SUM(J297:J333)</f>
        <v>3900.7999999999993</v>
      </c>
      <c r="K342" s="246">
        <f>SUM(K297:K324)</f>
        <v>8289.2000000000007</v>
      </c>
      <c r="L342" s="247">
        <f>SUM(L328:L340)</f>
        <v>12020</v>
      </c>
      <c r="M342" s="248"/>
    </row>
    <row r="343" spans="1:13" ht="13.5" thickBot="1" x14ac:dyDescent="0.25">
      <c r="A343" s="166"/>
      <c r="C343" s="168"/>
      <c r="D343" s="168"/>
      <c r="E343" s="169"/>
      <c r="F343" s="170"/>
      <c r="G343" s="171"/>
      <c r="H343" s="160" t="s">
        <v>13</v>
      </c>
      <c r="I343" s="172"/>
      <c r="J343" s="173"/>
      <c r="K343" s="174"/>
      <c r="L343" s="174"/>
      <c r="M343" s="175">
        <f>+K342-L342+M296</f>
        <v>9991.5500000000138</v>
      </c>
    </row>
    <row r="344" spans="1:13" x14ac:dyDescent="0.2">
      <c r="A344" s="166"/>
      <c r="C344" s="168"/>
      <c r="D344" s="168"/>
      <c r="E344" s="169"/>
      <c r="F344" s="170"/>
      <c r="G344" s="171"/>
      <c r="H344" s="171"/>
      <c r="I344" s="189"/>
      <c r="J344" s="188"/>
      <c r="K344" s="180"/>
      <c r="L344" s="180"/>
      <c r="M344" s="189"/>
    </row>
    <row r="345" spans="1:13" x14ac:dyDescent="0.2">
      <c r="A345" s="527" t="s">
        <v>95</v>
      </c>
      <c r="B345" s="528"/>
      <c r="C345" s="528"/>
      <c r="D345" s="528"/>
      <c r="E345" s="528"/>
      <c r="F345" s="528"/>
      <c r="G345" s="528"/>
      <c r="H345" s="528"/>
      <c r="I345" s="528"/>
      <c r="J345" s="528"/>
      <c r="K345" s="528"/>
      <c r="L345" s="528"/>
      <c r="M345" s="529"/>
    </row>
    <row r="346" spans="1:13" x14ac:dyDescent="0.2">
      <c r="A346" s="530"/>
      <c r="B346" s="531"/>
      <c r="C346" s="531"/>
      <c r="D346" s="531"/>
      <c r="E346" s="531"/>
      <c r="F346" s="531"/>
      <c r="G346" s="531"/>
      <c r="H346" s="531"/>
      <c r="I346" s="531"/>
      <c r="J346" s="531"/>
      <c r="K346" s="531"/>
      <c r="L346" s="531"/>
      <c r="M346" s="532"/>
    </row>
    <row r="347" spans="1:13" ht="15" x14ac:dyDescent="0.25">
      <c r="A347" s="533" t="s">
        <v>306</v>
      </c>
      <c r="B347" s="534"/>
      <c r="C347" s="534"/>
      <c r="D347" s="534"/>
      <c r="E347" s="534"/>
      <c r="F347" s="534"/>
      <c r="G347" s="534"/>
      <c r="H347" s="534"/>
      <c r="I347" s="534"/>
      <c r="J347" s="534"/>
      <c r="K347" s="534"/>
      <c r="L347" s="534"/>
      <c r="M347" s="534"/>
    </row>
    <row r="348" spans="1:13" x14ac:dyDescent="0.2">
      <c r="A348" s="115" t="s">
        <v>1</v>
      </c>
      <c r="B348" s="116" t="s">
        <v>2</v>
      </c>
      <c r="C348" s="117" t="s">
        <v>3</v>
      </c>
      <c r="D348" s="117" t="s">
        <v>4</v>
      </c>
      <c r="E348" s="117" t="s">
        <v>96</v>
      </c>
      <c r="F348" s="117" t="s">
        <v>5</v>
      </c>
      <c r="G348" s="118" t="s">
        <v>97</v>
      </c>
      <c r="H348" s="118" t="s">
        <v>6</v>
      </c>
      <c r="I348" s="117" t="s">
        <v>7</v>
      </c>
      <c r="J348" s="117" t="s">
        <v>8</v>
      </c>
      <c r="K348" s="117" t="s">
        <v>9</v>
      </c>
      <c r="L348" s="119" t="s">
        <v>10</v>
      </c>
      <c r="M348" s="117" t="s">
        <v>11</v>
      </c>
    </row>
    <row r="349" spans="1:13" x14ac:dyDescent="0.2">
      <c r="A349" s="120"/>
      <c r="B349" s="121"/>
      <c r="C349" s="122"/>
      <c r="D349" s="122"/>
      <c r="E349" s="122"/>
      <c r="F349" s="122"/>
      <c r="G349" s="101"/>
      <c r="H349" s="123"/>
      <c r="I349" s="124"/>
      <c r="J349" s="125"/>
      <c r="K349" s="125"/>
      <c r="L349" s="125"/>
      <c r="M349" s="124">
        <f>M343</f>
        <v>9991.5500000000138</v>
      </c>
    </row>
    <row r="350" spans="1:13" ht="14.25" x14ac:dyDescent="0.2">
      <c r="A350" s="201">
        <v>43255</v>
      </c>
      <c r="B350" s="184" t="s">
        <v>307</v>
      </c>
      <c r="C350" s="126"/>
      <c r="D350" s="122"/>
      <c r="E350" s="122"/>
      <c r="F350" s="122"/>
      <c r="G350" s="126" t="s">
        <v>308</v>
      </c>
      <c r="H350" s="122"/>
      <c r="I350" s="190">
        <v>200</v>
      </c>
      <c r="J350" s="182">
        <f>+I350*0.32</f>
        <v>64</v>
      </c>
      <c r="K350" s="182">
        <f>+I350*0.68</f>
        <v>136</v>
      </c>
      <c r="L350" s="128"/>
      <c r="M350" s="129">
        <f>+K350-L350+M349</f>
        <v>10127.550000000014</v>
      </c>
    </row>
    <row r="351" spans="1:13" ht="14.25" x14ac:dyDescent="0.2">
      <c r="A351" s="201">
        <v>43257</v>
      </c>
      <c r="B351" s="184" t="s">
        <v>307</v>
      </c>
      <c r="C351" s="126"/>
      <c r="D351" s="122"/>
      <c r="E351" s="122"/>
      <c r="F351" s="122"/>
      <c r="G351" s="126" t="s">
        <v>308</v>
      </c>
      <c r="H351" s="122"/>
      <c r="I351" s="190">
        <v>500</v>
      </c>
      <c r="J351" s="182">
        <f>+I351*0.32</f>
        <v>160</v>
      </c>
      <c r="K351" s="182">
        <f>+I351*0.68</f>
        <v>340</v>
      </c>
      <c r="L351" s="128"/>
      <c r="M351" s="129">
        <f>+K351-L351+M350</f>
        <v>10467.550000000014</v>
      </c>
    </row>
    <row r="352" spans="1:13" ht="14.25" x14ac:dyDescent="0.2">
      <c r="A352" s="201">
        <v>43259</v>
      </c>
      <c r="B352" s="184" t="s">
        <v>307</v>
      </c>
      <c r="C352" s="126"/>
      <c r="D352" s="122"/>
      <c r="E352" s="183"/>
      <c r="F352" s="183"/>
      <c r="G352" s="126" t="s">
        <v>308</v>
      </c>
      <c r="H352" s="122"/>
      <c r="I352" s="190">
        <v>524</v>
      </c>
      <c r="J352" s="182">
        <f t="shared" ref="J352:J374" si="17">+I352*0.32</f>
        <v>167.68</v>
      </c>
      <c r="K352" s="182">
        <f t="shared" ref="K352:K374" si="18">+I352*0.68</f>
        <v>356.32000000000005</v>
      </c>
      <c r="L352" s="128"/>
      <c r="M352" s="129">
        <f t="shared" ref="M352:M384" si="19">+K352-L352+M351</f>
        <v>10823.870000000014</v>
      </c>
    </row>
    <row r="353" spans="1:13" ht="14.25" x14ac:dyDescent="0.2">
      <c r="A353" s="201">
        <v>43262</v>
      </c>
      <c r="B353" s="184" t="s">
        <v>307</v>
      </c>
      <c r="C353" s="126"/>
      <c r="D353" s="122"/>
      <c r="E353" s="122"/>
      <c r="F353" s="122"/>
      <c r="G353" s="126" t="s">
        <v>308</v>
      </c>
      <c r="H353" s="122"/>
      <c r="I353" s="190">
        <v>308</v>
      </c>
      <c r="J353" s="182">
        <f t="shared" si="17"/>
        <v>98.56</v>
      </c>
      <c r="K353" s="182">
        <f t="shared" si="18"/>
        <v>209.44000000000003</v>
      </c>
      <c r="L353" s="128"/>
      <c r="M353" s="129">
        <f t="shared" si="19"/>
        <v>11033.310000000014</v>
      </c>
    </row>
    <row r="354" spans="1:13" ht="14.25" x14ac:dyDescent="0.2">
      <c r="A354" s="201">
        <v>43263</v>
      </c>
      <c r="B354" s="184" t="s">
        <v>307</v>
      </c>
      <c r="C354" s="126"/>
      <c r="D354" s="122"/>
      <c r="E354" s="122"/>
      <c r="F354" s="122"/>
      <c r="G354" s="126" t="s">
        <v>308</v>
      </c>
      <c r="H354" s="122"/>
      <c r="I354" s="190">
        <v>500</v>
      </c>
      <c r="J354" s="182">
        <f t="shared" si="17"/>
        <v>160</v>
      </c>
      <c r="K354" s="182">
        <f t="shared" si="18"/>
        <v>340</v>
      </c>
      <c r="L354" s="128"/>
      <c r="M354" s="129">
        <f t="shared" si="19"/>
        <v>11373.310000000014</v>
      </c>
    </row>
    <row r="355" spans="1:13" ht="14.25" x14ac:dyDescent="0.2">
      <c r="A355" s="201">
        <v>43264</v>
      </c>
      <c r="B355" s="184" t="s">
        <v>307</v>
      </c>
      <c r="C355" s="126"/>
      <c r="D355" s="122"/>
      <c r="E355" s="122"/>
      <c r="F355" s="122"/>
      <c r="G355" s="126" t="s">
        <v>308</v>
      </c>
      <c r="H355" s="122"/>
      <c r="I355" s="203">
        <f>452-140</f>
        <v>312</v>
      </c>
      <c r="J355" s="182">
        <f t="shared" si="17"/>
        <v>99.84</v>
      </c>
      <c r="K355" s="182">
        <f t="shared" si="18"/>
        <v>212.16000000000003</v>
      </c>
      <c r="L355" s="128"/>
      <c r="M355" s="129">
        <f t="shared" si="19"/>
        <v>11585.470000000014</v>
      </c>
    </row>
    <row r="356" spans="1:13" ht="14.25" x14ac:dyDescent="0.2">
      <c r="A356" s="201">
        <v>43269</v>
      </c>
      <c r="B356" s="184"/>
      <c r="C356" s="126"/>
      <c r="D356" s="122"/>
      <c r="E356" s="122"/>
      <c r="F356" s="122"/>
      <c r="G356" s="126" t="s">
        <v>309</v>
      </c>
      <c r="H356" s="122"/>
      <c r="I356" s="203">
        <v>1650</v>
      </c>
      <c r="J356" s="182">
        <f t="shared" si="17"/>
        <v>528</v>
      </c>
      <c r="K356" s="182">
        <f t="shared" si="18"/>
        <v>1122</v>
      </c>
      <c r="L356" s="128"/>
      <c r="M356" s="129">
        <f t="shared" si="19"/>
        <v>12707.470000000014</v>
      </c>
    </row>
    <row r="357" spans="1:13" ht="14.25" x14ac:dyDescent="0.2">
      <c r="A357" s="201">
        <v>43270</v>
      </c>
      <c r="B357" s="184"/>
      <c r="C357" s="126"/>
      <c r="D357" s="122"/>
      <c r="E357" s="122"/>
      <c r="F357" s="122"/>
      <c r="G357" s="126" t="s">
        <v>309</v>
      </c>
      <c r="H357" s="122"/>
      <c r="I357" s="203">
        <v>288</v>
      </c>
      <c r="J357" s="182">
        <f t="shared" si="17"/>
        <v>92.16</v>
      </c>
      <c r="K357" s="182">
        <f t="shared" si="18"/>
        <v>195.84</v>
      </c>
      <c r="L357" s="128"/>
      <c r="M357" s="129">
        <f t="shared" si="19"/>
        <v>12903.310000000014</v>
      </c>
    </row>
    <row r="358" spans="1:13" ht="14.25" x14ac:dyDescent="0.2">
      <c r="A358" s="201">
        <v>43271</v>
      </c>
      <c r="B358" s="184"/>
      <c r="C358" s="126"/>
      <c r="D358" s="122"/>
      <c r="E358" s="122"/>
      <c r="F358" s="122"/>
      <c r="G358" s="126" t="s">
        <v>309</v>
      </c>
      <c r="H358" s="122"/>
      <c r="I358" s="203">
        <v>308</v>
      </c>
      <c r="J358" s="182">
        <f t="shared" si="17"/>
        <v>98.56</v>
      </c>
      <c r="K358" s="182">
        <f t="shared" si="18"/>
        <v>209.44000000000003</v>
      </c>
      <c r="L358" s="128"/>
      <c r="M358" s="129">
        <f t="shared" si="19"/>
        <v>13112.750000000015</v>
      </c>
    </row>
    <row r="359" spans="1:13" ht="14.25" x14ac:dyDescent="0.2">
      <c r="A359" s="201">
        <v>43273</v>
      </c>
      <c r="B359" s="184"/>
      <c r="C359" s="126"/>
      <c r="D359" s="122"/>
      <c r="E359" s="122"/>
      <c r="F359" s="122"/>
      <c r="G359" s="126" t="s">
        <v>309</v>
      </c>
      <c r="H359" s="122"/>
      <c r="I359" s="203">
        <v>616</v>
      </c>
      <c r="J359" s="182">
        <f t="shared" si="17"/>
        <v>197.12</v>
      </c>
      <c r="K359" s="182">
        <f t="shared" si="18"/>
        <v>418.88000000000005</v>
      </c>
      <c r="L359" s="128"/>
      <c r="M359" s="129">
        <f t="shared" si="19"/>
        <v>13531.630000000014</v>
      </c>
    </row>
    <row r="360" spans="1:13" ht="14.25" x14ac:dyDescent="0.2">
      <c r="A360" s="201">
        <v>43274</v>
      </c>
      <c r="B360" s="184"/>
      <c r="C360" s="126"/>
      <c r="D360" s="135"/>
      <c r="E360" s="122"/>
      <c r="F360" s="122"/>
      <c r="G360" s="126" t="s">
        <v>309</v>
      </c>
      <c r="H360" s="135"/>
      <c r="I360" s="203">
        <v>144</v>
      </c>
      <c r="J360" s="182">
        <f t="shared" si="17"/>
        <v>46.08</v>
      </c>
      <c r="K360" s="182">
        <f t="shared" si="18"/>
        <v>97.92</v>
      </c>
      <c r="L360" s="128"/>
      <c r="M360" s="129">
        <f t="shared" si="19"/>
        <v>13629.550000000014</v>
      </c>
    </row>
    <row r="361" spans="1:13" ht="14.25" x14ac:dyDescent="0.2">
      <c r="A361" s="201">
        <v>43277</v>
      </c>
      <c r="B361" s="184"/>
      <c r="C361" s="126"/>
      <c r="D361" s="135"/>
      <c r="E361" s="122"/>
      <c r="F361" s="122"/>
      <c r="G361" s="126" t="s">
        <v>309</v>
      </c>
      <c r="H361" s="135"/>
      <c r="I361" s="203">
        <v>302</v>
      </c>
      <c r="J361" s="182">
        <f t="shared" si="17"/>
        <v>96.64</v>
      </c>
      <c r="K361" s="182">
        <f t="shared" si="18"/>
        <v>205.36</v>
      </c>
      <c r="L361" s="128"/>
      <c r="M361" s="129">
        <f t="shared" si="19"/>
        <v>13834.910000000014</v>
      </c>
    </row>
    <row r="362" spans="1:13" ht="14.25" x14ac:dyDescent="0.2">
      <c r="A362" s="201">
        <v>43278</v>
      </c>
      <c r="B362" s="184"/>
      <c r="C362" s="126"/>
      <c r="D362" s="135"/>
      <c r="E362" s="122"/>
      <c r="F362" s="122"/>
      <c r="G362" s="126" t="s">
        <v>309</v>
      </c>
      <c r="H362" s="135"/>
      <c r="I362" s="203">
        <v>806</v>
      </c>
      <c r="J362" s="182">
        <f t="shared" si="17"/>
        <v>257.92</v>
      </c>
      <c r="K362" s="182">
        <f t="shared" si="18"/>
        <v>548.08000000000004</v>
      </c>
      <c r="L362" s="128"/>
      <c r="M362" s="129">
        <f t="shared" si="19"/>
        <v>14382.990000000014</v>
      </c>
    </row>
    <row r="363" spans="1:13" ht="14.25" x14ac:dyDescent="0.2">
      <c r="A363" s="201">
        <v>43617</v>
      </c>
      <c r="B363" s="184"/>
      <c r="C363" s="126"/>
      <c r="D363" s="135"/>
      <c r="E363" s="122"/>
      <c r="F363" s="122"/>
      <c r="G363" s="126"/>
      <c r="H363" s="135"/>
      <c r="I363" s="203">
        <v>225</v>
      </c>
      <c r="J363" s="182">
        <f t="shared" si="17"/>
        <v>72</v>
      </c>
      <c r="K363" s="182">
        <f t="shared" si="18"/>
        <v>153</v>
      </c>
      <c r="L363" s="128"/>
      <c r="M363" s="129">
        <f t="shared" si="19"/>
        <v>14535.990000000014</v>
      </c>
    </row>
    <row r="364" spans="1:13" ht="14.25" x14ac:dyDescent="0.2">
      <c r="A364" s="201">
        <v>43621</v>
      </c>
      <c r="B364" s="184"/>
      <c r="C364" s="126"/>
      <c r="D364" s="135"/>
      <c r="E364" s="122"/>
      <c r="F364" s="122"/>
      <c r="G364" s="126"/>
      <c r="H364" s="135"/>
      <c r="I364" s="203">
        <v>120</v>
      </c>
      <c r="J364" s="182">
        <f t="shared" si="17"/>
        <v>38.4</v>
      </c>
      <c r="K364" s="182">
        <f t="shared" si="18"/>
        <v>81.600000000000009</v>
      </c>
      <c r="L364" s="128"/>
      <c r="M364" s="129">
        <f t="shared" si="19"/>
        <v>14617.590000000015</v>
      </c>
    </row>
    <row r="365" spans="1:13" ht="14.25" x14ac:dyDescent="0.2">
      <c r="A365" s="201">
        <v>43622</v>
      </c>
      <c r="B365" s="184"/>
      <c r="C365" s="126"/>
      <c r="D365" s="135"/>
      <c r="E365" s="122"/>
      <c r="F365" s="122"/>
      <c r="G365" s="126"/>
      <c r="H365" s="135"/>
      <c r="I365" s="203">
        <v>746</v>
      </c>
      <c r="J365" s="182">
        <f t="shared" si="17"/>
        <v>238.72</v>
      </c>
      <c r="K365" s="182">
        <f t="shared" si="18"/>
        <v>507.28000000000003</v>
      </c>
      <c r="L365" s="128"/>
      <c r="M365" s="129">
        <f t="shared" si="19"/>
        <v>15124.870000000015</v>
      </c>
    </row>
    <row r="366" spans="1:13" ht="14.25" x14ac:dyDescent="0.2">
      <c r="A366" s="201">
        <v>43624</v>
      </c>
      <c r="B366" s="184"/>
      <c r="C366" s="126"/>
      <c r="D366" s="135"/>
      <c r="E366" s="122"/>
      <c r="F366" s="122"/>
      <c r="G366" s="126"/>
      <c r="H366" s="135"/>
      <c r="I366" s="203">
        <v>643</v>
      </c>
      <c r="J366" s="182">
        <f t="shared" si="17"/>
        <v>205.76</v>
      </c>
      <c r="K366" s="182">
        <f t="shared" si="18"/>
        <v>437.24</v>
      </c>
      <c r="L366" s="128"/>
      <c r="M366" s="129">
        <f t="shared" si="19"/>
        <v>15562.110000000015</v>
      </c>
    </row>
    <row r="367" spans="1:13" ht="14.25" x14ac:dyDescent="0.2">
      <c r="A367" s="201">
        <v>43629</v>
      </c>
      <c r="B367" s="184"/>
      <c r="C367" s="126"/>
      <c r="D367" s="135"/>
      <c r="E367" s="122"/>
      <c r="F367" s="122"/>
      <c r="G367" s="126"/>
      <c r="H367" s="135"/>
      <c r="I367" s="203">
        <v>308</v>
      </c>
      <c r="J367" s="182">
        <f t="shared" si="17"/>
        <v>98.56</v>
      </c>
      <c r="K367" s="182">
        <f t="shared" si="18"/>
        <v>209.44000000000003</v>
      </c>
      <c r="L367" s="128"/>
      <c r="M367" s="129">
        <f t="shared" si="19"/>
        <v>15771.550000000016</v>
      </c>
    </row>
    <row r="368" spans="1:13" ht="14.25" x14ac:dyDescent="0.2">
      <c r="A368" s="201">
        <v>43630</v>
      </c>
      <c r="B368" s="184"/>
      <c r="C368" s="126"/>
      <c r="D368" s="135"/>
      <c r="E368" s="122"/>
      <c r="F368" s="122"/>
      <c r="G368" s="126"/>
      <c r="H368" s="135"/>
      <c r="I368" s="203">
        <v>302</v>
      </c>
      <c r="J368" s="182">
        <f t="shared" si="17"/>
        <v>96.64</v>
      </c>
      <c r="K368" s="182">
        <f t="shared" si="18"/>
        <v>205.36</v>
      </c>
      <c r="L368" s="128"/>
      <c r="M368" s="129">
        <f t="shared" si="19"/>
        <v>15976.910000000016</v>
      </c>
    </row>
    <row r="369" spans="1:13" ht="14.25" x14ac:dyDescent="0.2">
      <c r="A369" s="201">
        <v>43631</v>
      </c>
      <c r="B369" s="184"/>
      <c r="C369" s="126"/>
      <c r="D369" s="135"/>
      <c r="E369" s="122"/>
      <c r="F369" s="122"/>
      <c r="G369" s="126"/>
      <c r="H369" s="135"/>
      <c r="I369" s="203">
        <v>334</v>
      </c>
      <c r="J369" s="182">
        <f t="shared" si="17"/>
        <v>106.88</v>
      </c>
      <c r="K369" s="182">
        <f t="shared" si="18"/>
        <v>227.12</v>
      </c>
      <c r="L369" s="128"/>
      <c r="M369" s="129">
        <f t="shared" si="19"/>
        <v>16204.030000000017</v>
      </c>
    </row>
    <row r="370" spans="1:13" ht="14.25" x14ac:dyDescent="0.2">
      <c r="A370" s="201">
        <v>43634</v>
      </c>
      <c r="B370" s="184"/>
      <c r="C370" s="126"/>
      <c r="D370" s="135"/>
      <c r="E370" s="122"/>
      <c r="F370" s="122"/>
      <c r="G370" s="126"/>
      <c r="H370" s="135"/>
      <c r="I370" s="203">
        <v>144</v>
      </c>
      <c r="J370" s="182">
        <f t="shared" si="17"/>
        <v>46.08</v>
      </c>
      <c r="K370" s="182">
        <f t="shared" si="18"/>
        <v>97.92</v>
      </c>
      <c r="L370" s="128"/>
      <c r="M370" s="129">
        <f t="shared" si="19"/>
        <v>16301.950000000017</v>
      </c>
    </row>
    <row r="371" spans="1:13" ht="14.25" x14ac:dyDescent="0.2">
      <c r="A371" s="201">
        <v>43641</v>
      </c>
      <c r="B371" s="184"/>
      <c r="C371" s="126"/>
      <c r="D371" s="135"/>
      <c r="E371" s="122"/>
      <c r="F371" s="122"/>
      <c r="G371" s="126"/>
      <c r="H371" s="135"/>
      <c r="I371" s="203">
        <v>308</v>
      </c>
      <c r="J371" s="182">
        <f t="shared" si="17"/>
        <v>98.56</v>
      </c>
      <c r="K371" s="182">
        <f t="shared" si="18"/>
        <v>209.44000000000003</v>
      </c>
      <c r="L371" s="128"/>
      <c r="M371" s="129">
        <f t="shared" si="19"/>
        <v>16511.390000000018</v>
      </c>
    </row>
    <row r="372" spans="1:13" ht="14.25" x14ac:dyDescent="0.2">
      <c r="A372" s="201">
        <v>43642</v>
      </c>
      <c r="B372" s="184"/>
      <c r="C372" s="126"/>
      <c r="D372" s="135"/>
      <c r="E372" s="122"/>
      <c r="F372" s="122"/>
      <c r="G372" s="126"/>
      <c r="H372" s="135"/>
      <c r="I372" s="203">
        <v>20</v>
      </c>
      <c r="J372" s="182">
        <f t="shared" si="17"/>
        <v>6.4</v>
      </c>
      <c r="K372" s="182">
        <f t="shared" si="18"/>
        <v>13.600000000000001</v>
      </c>
      <c r="L372" s="128"/>
      <c r="M372" s="129">
        <f t="shared" si="19"/>
        <v>16524.990000000016</v>
      </c>
    </row>
    <row r="373" spans="1:13" ht="14.25" x14ac:dyDescent="0.2">
      <c r="A373" s="201">
        <v>43643</v>
      </c>
      <c r="B373" s="184"/>
      <c r="C373" s="126"/>
      <c r="D373" s="135"/>
      <c r="E373" s="122"/>
      <c r="F373" s="122"/>
      <c r="G373" s="126"/>
      <c r="H373" s="135"/>
      <c r="I373" s="203">
        <v>164</v>
      </c>
      <c r="J373" s="182">
        <f t="shared" si="17"/>
        <v>52.480000000000004</v>
      </c>
      <c r="K373" s="182">
        <f t="shared" si="18"/>
        <v>111.52000000000001</v>
      </c>
      <c r="L373" s="128"/>
      <c r="M373" s="129">
        <f t="shared" si="19"/>
        <v>16636.510000000017</v>
      </c>
    </row>
    <row r="374" spans="1:13" ht="14.25" x14ac:dyDescent="0.2">
      <c r="A374" s="201">
        <v>43644</v>
      </c>
      <c r="B374" s="184"/>
      <c r="C374" s="126"/>
      <c r="D374" s="135"/>
      <c r="E374" s="122"/>
      <c r="F374" s="122"/>
      <c r="G374" s="126"/>
      <c r="H374" s="135"/>
      <c r="I374" s="203">
        <v>452</v>
      </c>
      <c r="J374" s="182">
        <f t="shared" si="17"/>
        <v>144.64000000000001</v>
      </c>
      <c r="K374" s="182">
        <f t="shared" si="18"/>
        <v>307.36</v>
      </c>
      <c r="L374" s="128"/>
      <c r="M374" s="129">
        <f t="shared" si="19"/>
        <v>16943.870000000017</v>
      </c>
    </row>
    <row r="375" spans="1:13" ht="15" x14ac:dyDescent="0.25">
      <c r="A375" s="533" t="s">
        <v>310</v>
      </c>
      <c r="B375" s="534"/>
      <c r="C375" s="534"/>
      <c r="D375" s="534"/>
      <c r="E375" s="534"/>
      <c r="F375" s="534"/>
      <c r="G375" s="534"/>
      <c r="H375" s="534"/>
      <c r="I375" s="534"/>
      <c r="J375" s="534"/>
      <c r="K375" s="534"/>
      <c r="L375" s="534"/>
      <c r="M375" s="129">
        <f t="shared" si="19"/>
        <v>16943.870000000017</v>
      </c>
    </row>
    <row r="376" spans="1:13" ht="15" x14ac:dyDescent="0.25">
      <c r="A376" s="213">
        <v>43280</v>
      </c>
      <c r="B376" s="249" t="s">
        <v>311</v>
      </c>
      <c r="C376" s="249" t="s">
        <v>312</v>
      </c>
      <c r="D376" s="216"/>
      <c r="E376" s="216"/>
      <c r="F376" s="216" t="s">
        <v>313</v>
      </c>
      <c r="G376" s="216" t="s">
        <v>314</v>
      </c>
      <c r="I376" s="216"/>
      <c r="J376" s="216"/>
      <c r="K376" s="216"/>
      <c r="L376" s="129">
        <f>953.13-1.45</f>
        <v>951.68</v>
      </c>
      <c r="M376" s="129">
        <f t="shared" si="19"/>
        <v>15992.190000000017</v>
      </c>
    </row>
    <row r="377" spans="1:13" x14ac:dyDescent="0.2">
      <c r="A377" s="131"/>
      <c r="B377" s="151" t="s">
        <v>315</v>
      </c>
      <c r="C377" s="186" t="s">
        <v>316</v>
      </c>
      <c r="D377" s="122"/>
      <c r="E377" s="122"/>
      <c r="F377" s="122"/>
      <c r="G377" s="133"/>
      <c r="H377" s="123" t="s">
        <v>317</v>
      </c>
      <c r="I377" s="127"/>
      <c r="J377" s="128"/>
      <c r="K377" s="128"/>
      <c r="L377" s="129">
        <v>2415</v>
      </c>
      <c r="M377" s="129">
        <f t="shared" si="19"/>
        <v>13577.190000000017</v>
      </c>
    </row>
    <row r="378" spans="1:13" x14ac:dyDescent="0.2">
      <c r="A378" s="185">
        <v>43280</v>
      </c>
      <c r="B378" s="151" t="s">
        <v>318</v>
      </c>
      <c r="C378" s="186" t="s">
        <v>319</v>
      </c>
      <c r="D378" s="122"/>
      <c r="E378" s="122"/>
      <c r="F378" s="146" t="s">
        <v>320</v>
      </c>
      <c r="G378" s="147" t="s">
        <v>321</v>
      </c>
      <c r="H378" s="148"/>
      <c r="I378" s="127"/>
      <c r="J378" s="128"/>
      <c r="K378" s="128"/>
      <c r="L378" s="149">
        <v>1650</v>
      </c>
      <c r="M378" s="129">
        <f t="shared" si="19"/>
        <v>11927.190000000017</v>
      </c>
    </row>
    <row r="379" spans="1:13" x14ac:dyDescent="0.2">
      <c r="A379" s="185"/>
      <c r="B379" s="209"/>
      <c r="C379" s="152" t="s">
        <v>322</v>
      </c>
      <c r="D379" s="152"/>
      <c r="E379" s="122"/>
      <c r="F379" s="146" t="s">
        <v>323</v>
      </c>
      <c r="G379" s="147" t="s">
        <v>324</v>
      </c>
      <c r="H379" s="148"/>
      <c r="I379" s="127"/>
      <c r="J379" s="128"/>
      <c r="K379" s="128"/>
      <c r="L379" s="149">
        <v>1040</v>
      </c>
      <c r="M379" s="129">
        <f t="shared" si="19"/>
        <v>10887.190000000017</v>
      </c>
    </row>
    <row r="380" spans="1:13" x14ac:dyDescent="0.2">
      <c r="A380" s="131">
        <v>43304</v>
      </c>
      <c r="B380" s="151" t="s">
        <v>325</v>
      </c>
      <c r="C380" s="152"/>
      <c r="D380" s="186" t="s">
        <v>326</v>
      </c>
      <c r="E380" s="122"/>
      <c r="F380" s="122" t="s">
        <v>327</v>
      </c>
      <c r="G380" s="133" t="s">
        <v>328</v>
      </c>
      <c r="H380" s="123"/>
      <c r="I380" s="127"/>
      <c r="J380" s="128"/>
      <c r="K380" s="128"/>
      <c r="L380" s="149">
        <v>1700</v>
      </c>
      <c r="M380" s="129">
        <f t="shared" si="19"/>
        <v>9187.1900000000169</v>
      </c>
    </row>
    <row r="381" spans="1:13" x14ac:dyDescent="0.2">
      <c r="A381" s="131"/>
      <c r="B381" s="151" t="s">
        <v>329</v>
      </c>
      <c r="C381" s="152"/>
      <c r="D381" s="186" t="s">
        <v>330</v>
      </c>
      <c r="E381" s="122"/>
      <c r="F381" s="122"/>
      <c r="G381" s="133" t="s">
        <v>331</v>
      </c>
      <c r="H381" s="123"/>
      <c r="I381" s="127"/>
      <c r="J381" s="128"/>
      <c r="K381" s="128"/>
      <c r="L381" s="149">
        <v>950</v>
      </c>
      <c r="M381" s="129">
        <f t="shared" si="19"/>
        <v>8237.1900000000169</v>
      </c>
    </row>
    <row r="382" spans="1:13" x14ac:dyDescent="0.2">
      <c r="A382" s="219"/>
      <c r="B382" s="151" t="s">
        <v>332</v>
      </c>
      <c r="C382" s="152"/>
      <c r="D382" s="186" t="s">
        <v>333</v>
      </c>
      <c r="E382" s="223"/>
      <c r="F382" s="223"/>
      <c r="G382" s="133" t="s">
        <v>334</v>
      </c>
      <c r="H382" s="225"/>
      <c r="I382" s="226"/>
      <c r="J382" s="227"/>
      <c r="K382" s="228"/>
      <c r="L382" s="229">
        <v>850</v>
      </c>
      <c r="M382" s="129">
        <f t="shared" si="19"/>
        <v>7387.1900000000169</v>
      </c>
    </row>
    <row r="383" spans="1:13" ht="45" x14ac:dyDescent="0.25">
      <c r="A383" s="131">
        <v>43304</v>
      </c>
      <c r="B383" s="250" t="s">
        <v>335</v>
      </c>
      <c r="C383" s="152"/>
      <c r="D383" s="186" t="s">
        <v>336</v>
      </c>
      <c r="E383" s="122"/>
      <c r="F383" s="251" t="s">
        <v>337</v>
      </c>
      <c r="G383" s="252" t="s">
        <v>338</v>
      </c>
      <c r="H383" s="523" t="s">
        <v>339</v>
      </c>
      <c r="I383" s="524"/>
      <c r="J383" s="128"/>
      <c r="K383" s="128"/>
      <c r="L383" s="149">
        <v>300</v>
      </c>
      <c r="M383" s="129">
        <f t="shared" si="19"/>
        <v>7087.1900000000169</v>
      </c>
    </row>
    <row r="384" spans="1:13" x14ac:dyDescent="0.2">
      <c r="A384" s="131"/>
      <c r="B384" s="132"/>
      <c r="C384" s="122"/>
      <c r="D384" s="122"/>
      <c r="E384" s="122"/>
      <c r="F384" s="122"/>
      <c r="G384" s="133"/>
      <c r="H384" s="123"/>
      <c r="I384" s="127"/>
      <c r="J384" s="128"/>
      <c r="K384" s="128"/>
      <c r="L384" s="149"/>
      <c r="M384" s="129">
        <f t="shared" si="19"/>
        <v>7087.1900000000169</v>
      </c>
    </row>
    <row r="385" spans="1:13" ht="13.5" thickBot="1" x14ac:dyDescent="0.25">
      <c r="A385" s="238"/>
      <c r="B385" s="239"/>
      <c r="C385" s="240"/>
      <c r="D385" s="240"/>
      <c r="E385" s="241"/>
      <c r="F385" s="242"/>
      <c r="G385" s="243"/>
      <c r="H385" s="244" t="s">
        <v>250</v>
      </c>
      <c r="I385" s="161">
        <f>SUM(I350:I374)</f>
        <v>10224</v>
      </c>
      <c r="J385" s="245">
        <f>SUM(J350:J374)</f>
        <v>3271.6799999999994</v>
      </c>
      <c r="K385" s="246">
        <f>SUM(K350:K374)</f>
        <v>6952.32</v>
      </c>
      <c r="L385" s="247">
        <f>SUM(L376:L384)</f>
        <v>9856.68</v>
      </c>
      <c r="M385" s="248"/>
    </row>
    <row r="386" spans="1:13" ht="13.5" thickBot="1" x14ac:dyDescent="0.25">
      <c r="A386" s="166"/>
      <c r="C386" s="168"/>
      <c r="D386" s="168"/>
      <c r="E386" s="169"/>
      <c r="F386" s="170"/>
      <c r="G386" s="171"/>
      <c r="H386" s="160" t="s">
        <v>13</v>
      </c>
      <c r="I386" s="172"/>
      <c r="J386" s="173"/>
      <c r="K386" s="174"/>
      <c r="L386" s="174"/>
      <c r="M386" s="175">
        <f>+K385-L385+M349</f>
        <v>7087.1900000000132</v>
      </c>
    </row>
    <row r="387" spans="1:13" x14ac:dyDescent="0.2">
      <c r="A387" s="166"/>
      <c r="C387" s="168"/>
      <c r="D387" s="168"/>
      <c r="E387" s="169"/>
      <c r="F387" s="170"/>
      <c r="G387" s="171"/>
      <c r="H387" s="171"/>
      <c r="I387" s="189"/>
      <c r="J387" s="188"/>
      <c r="K387" s="180"/>
      <c r="L387" s="180"/>
      <c r="M387" s="189"/>
    </row>
    <row r="388" spans="1:13" x14ac:dyDescent="0.2">
      <c r="A388" s="527" t="s">
        <v>95</v>
      </c>
      <c r="B388" s="528"/>
      <c r="C388" s="528"/>
      <c r="D388" s="528"/>
      <c r="E388" s="528"/>
      <c r="F388" s="528"/>
      <c r="G388" s="528"/>
      <c r="H388" s="528"/>
      <c r="I388" s="528"/>
      <c r="J388" s="528"/>
      <c r="K388" s="528"/>
      <c r="L388" s="528"/>
      <c r="M388" s="529"/>
    </row>
    <row r="389" spans="1:13" x14ac:dyDescent="0.2">
      <c r="A389" s="530"/>
      <c r="B389" s="531"/>
      <c r="C389" s="531"/>
      <c r="D389" s="531"/>
      <c r="E389" s="531"/>
      <c r="F389" s="531"/>
      <c r="G389" s="531"/>
      <c r="H389" s="531"/>
      <c r="I389" s="531"/>
      <c r="J389" s="531"/>
      <c r="K389" s="531"/>
      <c r="L389" s="531"/>
      <c r="M389" s="532"/>
    </row>
    <row r="390" spans="1:13" ht="15" x14ac:dyDescent="0.25">
      <c r="A390" s="533" t="s">
        <v>340</v>
      </c>
      <c r="B390" s="534"/>
      <c r="C390" s="534"/>
      <c r="D390" s="534"/>
      <c r="E390" s="534"/>
      <c r="F390" s="534"/>
      <c r="G390" s="534"/>
      <c r="H390" s="534"/>
      <c r="I390" s="534"/>
      <c r="J390" s="534"/>
      <c r="K390" s="534"/>
      <c r="L390" s="534"/>
      <c r="M390" s="534"/>
    </row>
    <row r="391" spans="1:13" x14ac:dyDescent="0.2">
      <c r="A391" s="115" t="s">
        <v>1</v>
      </c>
      <c r="B391" s="116" t="s">
        <v>2</v>
      </c>
      <c r="C391" s="117" t="s">
        <v>3</v>
      </c>
      <c r="D391" s="117" t="s">
        <v>4</v>
      </c>
      <c r="E391" s="117" t="s">
        <v>96</v>
      </c>
      <c r="F391" s="117" t="s">
        <v>5</v>
      </c>
      <c r="G391" s="118" t="s">
        <v>97</v>
      </c>
      <c r="H391" s="118" t="s">
        <v>6</v>
      </c>
      <c r="I391" s="117" t="s">
        <v>7</v>
      </c>
      <c r="J391" s="117" t="s">
        <v>8</v>
      </c>
      <c r="K391" s="117" t="s">
        <v>9</v>
      </c>
      <c r="L391" s="119" t="s">
        <v>10</v>
      </c>
      <c r="M391" s="117" t="s">
        <v>11</v>
      </c>
    </row>
    <row r="392" spans="1:13" x14ac:dyDescent="0.2">
      <c r="A392" s="120"/>
      <c r="B392" s="121"/>
      <c r="C392" s="122"/>
      <c r="D392" s="122"/>
      <c r="E392" s="122"/>
      <c r="F392" s="122"/>
      <c r="G392" s="101"/>
      <c r="H392" s="123"/>
      <c r="I392" s="124"/>
      <c r="J392" s="125"/>
      <c r="K392" s="125"/>
      <c r="L392" s="125"/>
      <c r="M392" s="124">
        <f>M386</f>
        <v>7087.1900000000132</v>
      </c>
    </row>
    <row r="393" spans="1:13" ht="14.25" x14ac:dyDescent="0.2">
      <c r="A393" s="201">
        <v>43284</v>
      </c>
      <c r="B393" s="184"/>
      <c r="C393" s="126"/>
      <c r="D393" s="122"/>
      <c r="E393" s="122"/>
      <c r="F393" s="122"/>
      <c r="G393" s="126" t="s">
        <v>309</v>
      </c>
      <c r="H393" s="122"/>
      <c r="I393" s="190">
        <f>488-15-70</f>
        <v>403</v>
      </c>
      <c r="J393" s="182">
        <f>+I393*0.32</f>
        <v>128.96</v>
      </c>
      <c r="K393" s="182">
        <f>+I393*0.68</f>
        <v>274.04000000000002</v>
      </c>
      <c r="L393" s="128"/>
      <c r="M393" s="129">
        <f>+K393-L393+M392</f>
        <v>7361.2300000000132</v>
      </c>
    </row>
    <row r="394" spans="1:13" ht="14.25" x14ac:dyDescent="0.2">
      <c r="A394" s="201">
        <v>43286</v>
      </c>
      <c r="B394" s="184"/>
      <c r="C394" s="126"/>
      <c r="D394" s="122"/>
      <c r="E394" s="122"/>
      <c r="F394" s="122"/>
      <c r="G394" s="126" t="s">
        <v>309</v>
      </c>
      <c r="H394" s="122"/>
      <c r="I394" s="190">
        <v>460</v>
      </c>
      <c r="J394" s="182">
        <f>+I394*0.32</f>
        <v>147.20000000000002</v>
      </c>
      <c r="K394" s="182">
        <f>+I394*0.68</f>
        <v>312.8</v>
      </c>
      <c r="L394" s="128"/>
      <c r="M394" s="129">
        <f>+K394-L394+M393</f>
        <v>7674.0300000000134</v>
      </c>
    </row>
    <row r="395" spans="1:13" ht="14.25" x14ac:dyDescent="0.2">
      <c r="A395" s="201">
        <v>43287</v>
      </c>
      <c r="B395" s="184"/>
      <c r="C395" s="126"/>
      <c r="D395" s="122"/>
      <c r="E395" s="183"/>
      <c r="F395" s="183"/>
      <c r="G395" s="126" t="s">
        <v>309</v>
      </c>
      <c r="H395" s="122"/>
      <c r="I395" s="190">
        <v>144</v>
      </c>
      <c r="J395" s="182">
        <f t="shared" ref="J395:J419" si="20">+I395*0.32</f>
        <v>46.08</v>
      </c>
      <c r="K395" s="182">
        <f t="shared" ref="K395:K419" si="21">+I395*0.68</f>
        <v>97.92</v>
      </c>
      <c r="L395" s="128"/>
      <c r="M395" s="129">
        <f t="shared" ref="M395:M430" si="22">+K395-L395+M394</f>
        <v>7771.9500000000135</v>
      </c>
    </row>
    <row r="396" spans="1:13" ht="14.25" x14ac:dyDescent="0.2">
      <c r="A396" s="201">
        <v>43293</v>
      </c>
      <c r="B396" s="184"/>
      <c r="C396" s="126"/>
      <c r="D396" s="122"/>
      <c r="E396" s="122"/>
      <c r="F396" s="122"/>
      <c r="G396" s="126" t="s">
        <v>309</v>
      </c>
      <c r="H396" s="122"/>
      <c r="I396" s="190">
        <v>144</v>
      </c>
      <c r="J396" s="182">
        <f t="shared" si="20"/>
        <v>46.08</v>
      </c>
      <c r="K396" s="182">
        <f t="shared" si="21"/>
        <v>97.92</v>
      </c>
      <c r="L396" s="128"/>
      <c r="M396" s="129">
        <f t="shared" si="22"/>
        <v>7869.8700000000135</v>
      </c>
    </row>
    <row r="397" spans="1:13" ht="14.25" x14ac:dyDescent="0.2">
      <c r="A397" s="201">
        <v>43294</v>
      </c>
      <c r="B397" s="184"/>
      <c r="C397" s="126"/>
      <c r="D397" s="122"/>
      <c r="E397" s="122"/>
      <c r="F397" s="122"/>
      <c r="G397" s="126" t="s">
        <v>309</v>
      </c>
      <c r="H397" s="122"/>
      <c r="I397" s="190">
        <v>144</v>
      </c>
      <c r="J397" s="182">
        <f t="shared" si="20"/>
        <v>46.08</v>
      </c>
      <c r="K397" s="182">
        <f t="shared" si="21"/>
        <v>97.92</v>
      </c>
      <c r="L397" s="128"/>
      <c r="M397" s="129">
        <f t="shared" si="22"/>
        <v>7967.7900000000136</v>
      </c>
    </row>
    <row r="398" spans="1:13" ht="14.25" x14ac:dyDescent="0.2">
      <c r="A398" s="201">
        <v>43300</v>
      </c>
      <c r="B398" s="184" t="s">
        <v>341</v>
      </c>
      <c r="C398" s="126"/>
      <c r="D398" s="122"/>
      <c r="E398" s="122"/>
      <c r="F398" s="122"/>
      <c r="G398" s="126" t="s">
        <v>342</v>
      </c>
      <c r="H398" s="122"/>
      <c r="I398" s="190">
        <v>164</v>
      </c>
      <c r="J398" s="182">
        <f t="shared" si="20"/>
        <v>52.480000000000004</v>
      </c>
      <c r="K398" s="182">
        <f t="shared" si="21"/>
        <v>111.52000000000001</v>
      </c>
      <c r="L398" s="128"/>
      <c r="M398" s="129">
        <f t="shared" si="22"/>
        <v>8079.310000000014</v>
      </c>
    </row>
    <row r="399" spans="1:13" ht="14.25" x14ac:dyDescent="0.2">
      <c r="A399" s="201">
        <v>43301</v>
      </c>
      <c r="B399" s="184" t="s">
        <v>341</v>
      </c>
      <c r="C399" s="126"/>
      <c r="D399" s="122"/>
      <c r="E399" s="122"/>
      <c r="F399" s="122"/>
      <c r="G399" s="126" t="s">
        <v>342</v>
      </c>
      <c r="H399" s="122"/>
      <c r="I399" s="190">
        <v>144</v>
      </c>
      <c r="J399" s="182">
        <f t="shared" si="20"/>
        <v>46.08</v>
      </c>
      <c r="K399" s="182">
        <f t="shared" si="21"/>
        <v>97.92</v>
      </c>
      <c r="L399" s="128"/>
      <c r="M399" s="129">
        <f t="shared" si="22"/>
        <v>8177.2300000000141</v>
      </c>
    </row>
    <row r="400" spans="1:13" ht="14.25" x14ac:dyDescent="0.2">
      <c r="A400" s="201">
        <v>43304</v>
      </c>
      <c r="B400" s="184" t="s">
        <v>341</v>
      </c>
      <c r="C400" s="126"/>
      <c r="D400" s="122"/>
      <c r="E400" s="122"/>
      <c r="F400" s="122"/>
      <c r="G400" s="126" t="s">
        <v>342</v>
      </c>
      <c r="H400" s="122"/>
      <c r="I400" s="190">
        <v>20</v>
      </c>
      <c r="J400" s="182">
        <f t="shared" si="20"/>
        <v>6.4</v>
      </c>
      <c r="K400" s="182">
        <f t="shared" si="21"/>
        <v>13.600000000000001</v>
      </c>
      <c r="L400" s="128"/>
      <c r="M400" s="129">
        <f t="shared" si="22"/>
        <v>8190.8300000000145</v>
      </c>
    </row>
    <row r="401" spans="1:13" ht="14.25" x14ac:dyDescent="0.2">
      <c r="A401" s="201">
        <v>43307</v>
      </c>
      <c r="B401" s="184" t="s">
        <v>341</v>
      </c>
      <c r="C401" s="126"/>
      <c r="D401" s="122"/>
      <c r="E401" s="122"/>
      <c r="F401" s="122"/>
      <c r="G401" s="126" t="s">
        <v>342</v>
      </c>
      <c r="H401" s="122"/>
      <c r="I401" s="203">
        <v>780</v>
      </c>
      <c r="J401" s="182">
        <f t="shared" si="20"/>
        <v>249.6</v>
      </c>
      <c r="K401" s="182">
        <f t="shared" si="21"/>
        <v>530.40000000000009</v>
      </c>
      <c r="L401" s="128"/>
      <c r="M401" s="129">
        <f t="shared" si="22"/>
        <v>8721.2300000000141</v>
      </c>
    </row>
    <row r="402" spans="1:13" ht="14.25" x14ac:dyDescent="0.2">
      <c r="A402" s="201">
        <v>43311</v>
      </c>
      <c r="B402" s="184" t="s">
        <v>341</v>
      </c>
      <c r="C402" s="126"/>
      <c r="D402" s="122"/>
      <c r="E402" s="122"/>
      <c r="F402" s="122"/>
      <c r="G402" s="126" t="s">
        <v>342</v>
      </c>
      <c r="H402" s="122"/>
      <c r="I402" s="203">
        <v>458</v>
      </c>
      <c r="J402" s="182">
        <f t="shared" si="20"/>
        <v>146.56</v>
      </c>
      <c r="K402" s="182">
        <f t="shared" si="21"/>
        <v>311.44</v>
      </c>
      <c r="L402" s="128"/>
      <c r="M402" s="129">
        <f t="shared" si="22"/>
        <v>9032.6700000000146</v>
      </c>
    </row>
    <row r="403" spans="1:13" ht="14.25" x14ac:dyDescent="0.2">
      <c r="A403" s="201">
        <v>43312</v>
      </c>
      <c r="B403" s="184" t="s">
        <v>341</v>
      </c>
      <c r="C403" s="126"/>
      <c r="D403" s="135"/>
      <c r="E403" s="122"/>
      <c r="F403" s="122"/>
      <c r="G403" s="126" t="s">
        <v>342</v>
      </c>
      <c r="H403" s="135"/>
      <c r="I403" s="203">
        <f>745-25</f>
        <v>720</v>
      </c>
      <c r="J403" s="182">
        <f t="shared" si="20"/>
        <v>230.4</v>
      </c>
      <c r="K403" s="182">
        <f t="shared" si="21"/>
        <v>489.6</v>
      </c>
      <c r="L403" s="128"/>
      <c r="M403" s="129">
        <f t="shared" si="22"/>
        <v>9522.270000000015</v>
      </c>
    </row>
    <row r="404" spans="1:13" ht="14.25" x14ac:dyDescent="0.2">
      <c r="A404" s="201">
        <v>43649</v>
      </c>
      <c r="B404" s="184"/>
      <c r="C404" s="126"/>
      <c r="D404" s="135"/>
      <c r="E404" s="122"/>
      <c r="F404" s="122"/>
      <c r="G404" s="126"/>
      <c r="H404" s="135"/>
      <c r="I404" s="203">
        <v>536</v>
      </c>
      <c r="J404" s="182">
        <f t="shared" si="20"/>
        <v>171.52</v>
      </c>
      <c r="K404" s="182">
        <f t="shared" si="21"/>
        <v>364.48</v>
      </c>
      <c r="L404" s="128"/>
      <c r="M404" s="129">
        <f t="shared" si="22"/>
        <v>9886.7500000000146</v>
      </c>
    </row>
    <row r="405" spans="1:13" ht="14.25" x14ac:dyDescent="0.2">
      <c r="A405" s="201">
        <v>43652</v>
      </c>
      <c r="B405" s="184"/>
      <c r="C405" s="126"/>
      <c r="D405" s="135"/>
      <c r="E405" s="122"/>
      <c r="F405" s="122"/>
      <c r="G405" s="126"/>
      <c r="H405" s="135"/>
      <c r="I405" s="203">
        <v>20</v>
      </c>
      <c r="J405" s="182">
        <f t="shared" si="20"/>
        <v>6.4</v>
      </c>
      <c r="K405" s="182">
        <f t="shared" si="21"/>
        <v>13.600000000000001</v>
      </c>
      <c r="L405" s="128"/>
      <c r="M405" s="129">
        <f t="shared" si="22"/>
        <v>9900.3500000000149</v>
      </c>
    </row>
    <row r="406" spans="1:13" ht="14.25" x14ac:dyDescent="0.2">
      <c r="A406" s="201">
        <v>43625</v>
      </c>
      <c r="B406" s="184"/>
      <c r="C406" s="126"/>
      <c r="D406" s="135"/>
      <c r="E406" s="122"/>
      <c r="F406" s="122"/>
      <c r="G406" s="126"/>
      <c r="H406" s="135"/>
      <c r="I406" s="203">
        <v>20</v>
      </c>
      <c r="J406" s="182">
        <f t="shared" si="20"/>
        <v>6.4</v>
      </c>
      <c r="K406" s="182">
        <f t="shared" si="21"/>
        <v>13.600000000000001</v>
      </c>
      <c r="L406" s="128"/>
      <c r="M406" s="129">
        <f t="shared" si="22"/>
        <v>9913.9500000000153</v>
      </c>
    </row>
    <row r="407" spans="1:13" ht="14.25" x14ac:dyDescent="0.2">
      <c r="A407" s="201">
        <v>43656</v>
      </c>
      <c r="B407" s="184"/>
      <c r="C407" s="126"/>
      <c r="D407" s="135"/>
      <c r="E407" s="122"/>
      <c r="F407" s="122"/>
      <c r="G407" s="126"/>
      <c r="H407" s="135"/>
      <c r="I407" s="203">
        <v>273</v>
      </c>
      <c r="J407" s="182">
        <f t="shared" si="20"/>
        <v>87.36</v>
      </c>
      <c r="K407" s="182">
        <f t="shared" si="21"/>
        <v>185.64000000000001</v>
      </c>
      <c r="L407" s="128"/>
      <c r="M407" s="129">
        <f t="shared" si="22"/>
        <v>10099.590000000015</v>
      </c>
    </row>
    <row r="408" spans="1:13" ht="14.25" x14ac:dyDescent="0.2">
      <c r="A408" s="201">
        <v>43657</v>
      </c>
      <c r="B408" s="184"/>
      <c r="C408" s="126"/>
      <c r="D408" s="135"/>
      <c r="E408" s="122"/>
      <c r="F408" s="122"/>
      <c r="G408" s="126"/>
      <c r="H408" s="135"/>
      <c r="I408" s="203">
        <v>144</v>
      </c>
      <c r="J408" s="182">
        <f t="shared" si="20"/>
        <v>46.08</v>
      </c>
      <c r="K408" s="182">
        <f t="shared" si="21"/>
        <v>97.92</v>
      </c>
      <c r="L408" s="128"/>
      <c r="M408" s="129">
        <f t="shared" si="22"/>
        <v>10197.510000000015</v>
      </c>
    </row>
    <row r="409" spans="1:13" ht="14.25" x14ac:dyDescent="0.2">
      <c r="A409" s="201">
        <v>43658</v>
      </c>
      <c r="B409" s="184"/>
      <c r="C409" s="126"/>
      <c r="D409" s="135"/>
      <c r="E409" s="122"/>
      <c r="F409" s="122"/>
      <c r="G409" s="126"/>
      <c r="H409" s="135"/>
      <c r="I409" s="203">
        <v>320</v>
      </c>
      <c r="J409" s="182">
        <f t="shared" si="20"/>
        <v>102.4</v>
      </c>
      <c r="K409" s="182">
        <f t="shared" si="21"/>
        <v>217.60000000000002</v>
      </c>
      <c r="L409" s="128"/>
      <c r="M409" s="129">
        <f t="shared" si="22"/>
        <v>10415.110000000015</v>
      </c>
    </row>
    <row r="410" spans="1:13" ht="14.25" x14ac:dyDescent="0.2">
      <c r="A410" s="201">
        <v>43659</v>
      </c>
      <c r="B410" s="184"/>
      <c r="C410" s="126"/>
      <c r="D410" s="135"/>
      <c r="E410" s="122"/>
      <c r="F410" s="122"/>
      <c r="G410" s="126"/>
      <c r="H410" s="135"/>
      <c r="I410" s="203">
        <v>308</v>
      </c>
      <c r="J410" s="182">
        <f t="shared" si="20"/>
        <v>98.56</v>
      </c>
      <c r="K410" s="182">
        <f t="shared" si="21"/>
        <v>209.44000000000003</v>
      </c>
      <c r="L410" s="128"/>
      <c r="M410" s="129">
        <f t="shared" si="22"/>
        <v>10624.550000000016</v>
      </c>
    </row>
    <row r="411" spans="1:13" ht="14.25" x14ac:dyDescent="0.2">
      <c r="A411" s="201">
        <v>43664</v>
      </c>
      <c r="B411" s="184"/>
      <c r="C411" s="126"/>
      <c r="D411" s="135"/>
      <c r="E411" s="122"/>
      <c r="F411" s="122"/>
      <c r="G411" s="126"/>
      <c r="H411" s="135"/>
      <c r="I411" s="203">
        <v>120</v>
      </c>
      <c r="J411" s="182">
        <f t="shared" si="20"/>
        <v>38.4</v>
      </c>
      <c r="K411" s="182">
        <f t="shared" si="21"/>
        <v>81.600000000000009</v>
      </c>
      <c r="L411" s="128"/>
      <c r="M411" s="129">
        <f t="shared" si="22"/>
        <v>10706.150000000016</v>
      </c>
    </row>
    <row r="412" spans="1:13" ht="14.25" x14ac:dyDescent="0.2">
      <c r="A412" s="201">
        <v>43665</v>
      </c>
      <c r="B412" s="184"/>
      <c r="C412" s="126"/>
      <c r="D412" s="135"/>
      <c r="E412" s="122"/>
      <c r="F412" s="122"/>
      <c r="G412" s="126"/>
      <c r="H412" s="135"/>
      <c r="I412" s="203">
        <v>220</v>
      </c>
      <c r="J412" s="182">
        <f t="shared" si="20"/>
        <v>70.400000000000006</v>
      </c>
      <c r="K412" s="182">
        <f t="shared" si="21"/>
        <v>149.60000000000002</v>
      </c>
      <c r="L412" s="128"/>
      <c r="M412" s="129">
        <f t="shared" si="22"/>
        <v>10855.750000000016</v>
      </c>
    </row>
    <row r="413" spans="1:13" ht="14.25" x14ac:dyDescent="0.2">
      <c r="A413" s="201">
        <v>43666</v>
      </c>
      <c r="B413" s="184"/>
      <c r="C413" s="126"/>
      <c r="D413" s="135"/>
      <c r="E413" s="122"/>
      <c r="F413" s="122"/>
      <c r="G413" s="126"/>
      <c r="H413" s="135"/>
      <c r="I413" s="203">
        <v>300</v>
      </c>
      <c r="J413" s="182">
        <f t="shared" si="20"/>
        <v>96</v>
      </c>
      <c r="K413" s="182">
        <f t="shared" si="21"/>
        <v>204.00000000000003</v>
      </c>
      <c r="L413" s="128"/>
      <c r="M413" s="129">
        <f t="shared" si="22"/>
        <v>11059.750000000016</v>
      </c>
    </row>
    <row r="414" spans="1:13" ht="14.25" x14ac:dyDescent="0.2">
      <c r="A414" s="201">
        <v>43667</v>
      </c>
      <c r="B414" s="184"/>
      <c r="C414" s="126"/>
      <c r="D414" s="135"/>
      <c r="E414" s="122"/>
      <c r="F414" s="122"/>
      <c r="G414" s="126"/>
      <c r="H414" s="135"/>
      <c r="I414" s="203">
        <v>240</v>
      </c>
      <c r="J414" s="182">
        <f t="shared" si="20"/>
        <v>76.8</v>
      </c>
      <c r="K414" s="182">
        <f t="shared" si="21"/>
        <v>163.20000000000002</v>
      </c>
      <c r="L414" s="128"/>
      <c r="M414" s="129">
        <f t="shared" si="22"/>
        <v>11222.950000000017</v>
      </c>
    </row>
    <row r="415" spans="1:13" ht="14.25" x14ac:dyDescent="0.2">
      <c r="A415" s="201">
        <v>43669</v>
      </c>
      <c r="B415" s="184"/>
      <c r="C415" s="126"/>
      <c r="D415" s="135"/>
      <c r="E415" s="122"/>
      <c r="F415" s="122"/>
      <c r="G415" s="126"/>
      <c r="H415" s="135"/>
      <c r="I415" s="203">
        <v>452</v>
      </c>
      <c r="J415" s="182">
        <f t="shared" si="20"/>
        <v>144.64000000000001</v>
      </c>
      <c r="K415" s="182">
        <f t="shared" si="21"/>
        <v>307.36</v>
      </c>
      <c r="L415" s="128"/>
      <c r="M415" s="129">
        <f t="shared" si="22"/>
        <v>11530.310000000018</v>
      </c>
    </row>
    <row r="416" spans="1:13" ht="14.25" x14ac:dyDescent="0.2">
      <c r="A416" s="201">
        <v>43670</v>
      </c>
      <c r="B416" s="184"/>
      <c r="C416" s="126"/>
      <c r="D416" s="135"/>
      <c r="E416" s="122"/>
      <c r="F416" s="122"/>
      <c r="G416" s="126"/>
      <c r="H416" s="135"/>
      <c r="I416" s="203">
        <v>1540</v>
      </c>
      <c r="J416" s="182">
        <f t="shared" si="20"/>
        <v>492.8</v>
      </c>
      <c r="K416" s="182">
        <f t="shared" si="21"/>
        <v>1047.2</v>
      </c>
      <c r="L416" s="128"/>
      <c r="M416" s="129">
        <f t="shared" si="22"/>
        <v>12577.510000000018</v>
      </c>
    </row>
    <row r="417" spans="1:13" ht="14.25" x14ac:dyDescent="0.2">
      <c r="A417" s="201">
        <v>43672</v>
      </c>
      <c r="B417" s="184"/>
      <c r="C417" s="126"/>
      <c r="D417" s="135"/>
      <c r="E417" s="122"/>
      <c r="F417" s="122"/>
      <c r="G417" s="126"/>
      <c r="H417" s="135"/>
      <c r="I417" s="203">
        <v>592</v>
      </c>
      <c r="J417" s="182">
        <f t="shared" si="20"/>
        <v>189.44</v>
      </c>
      <c r="K417" s="182">
        <f t="shared" si="21"/>
        <v>402.56</v>
      </c>
      <c r="L417" s="128"/>
      <c r="M417" s="129">
        <f t="shared" si="22"/>
        <v>12980.070000000018</v>
      </c>
    </row>
    <row r="418" spans="1:13" ht="14.25" x14ac:dyDescent="0.2">
      <c r="A418" s="201">
        <v>43676</v>
      </c>
      <c r="B418" s="184"/>
      <c r="C418" s="126"/>
      <c r="D418" s="135"/>
      <c r="E418" s="122"/>
      <c r="F418" s="122"/>
      <c r="G418" s="126"/>
      <c r="H418" s="135"/>
      <c r="I418" s="202">
        <v>617</v>
      </c>
      <c r="J418" s="182">
        <f t="shared" si="20"/>
        <v>197.44</v>
      </c>
      <c r="K418" s="182">
        <f t="shared" si="21"/>
        <v>419.56</v>
      </c>
      <c r="L418" s="128"/>
      <c r="M418" s="129">
        <f t="shared" si="22"/>
        <v>13399.630000000017</v>
      </c>
    </row>
    <row r="419" spans="1:13" ht="14.25" x14ac:dyDescent="0.2">
      <c r="A419" s="131">
        <v>43677</v>
      </c>
      <c r="B419" s="212"/>
      <c r="C419" s="122"/>
      <c r="D419" s="122"/>
      <c r="F419" s="122"/>
      <c r="G419" s="133"/>
      <c r="H419" s="123"/>
      <c r="I419" s="127">
        <v>308</v>
      </c>
      <c r="J419" s="182">
        <f t="shared" si="20"/>
        <v>98.56</v>
      </c>
      <c r="K419" s="182">
        <f t="shared" si="21"/>
        <v>209.44000000000003</v>
      </c>
      <c r="L419" s="128"/>
      <c r="M419" s="129">
        <f t="shared" si="22"/>
        <v>13609.070000000018</v>
      </c>
    </row>
    <row r="420" spans="1:13" ht="15" x14ac:dyDescent="0.25">
      <c r="A420" s="533" t="s">
        <v>343</v>
      </c>
      <c r="B420" s="534"/>
      <c r="C420" s="534"/>
      <c r="D420" s="534"/>
      <c r="E420" s="534"/>
      <c r="F420" s="534"/>
      <c r="G420" s="534"/>
      <c r="H420" s="534"/>
      <c r="I420" s="534"/>
      <c r="J420" s="534"/>
      <c r="K420" s="534"/>
      <c r="L420" s="534"/>
      <c r="M420" s="129">
        <f t="shared" si="22"/>
        <v>13609.070000000018</v>
      </c>
    </row>
    <row r="421" spans="1:13" ht="15" x14ac:dyDescent="0.25">
      <c r="A421" s="213">
        <v>43313</v>
      </c>
      <c r="B421" s="249" t="s">
        <v>344</v>
      </c>
      <c r="C421" s="215"/>
      <c r="D421" s="249" t="s">
        <v>345</v>
      </c>
      <c r="E421" s="216"/>
      <c r="F421" s="216" t="s">
        <v>346</v>
      </c>
      <c r="G421" s="216" t="s">
        <v>347</v>
      </c>
      <c r="I421" s="216"/>
      <c r="J421" s="216"/>
      <c r="K421" s="216"/>
      <c r="L421" s="129">
        <v>7080</v>
      </c>
      <c r="M421" s="129">
        <f t="shared" si="22"/>
        <v>6529.0700000000179</v>
      </c>
    </row>
    <row r="422" spans="1:13" ht="30" customHeight="1" x14ac:dyDescent="0.2">
      <c r="A422" s="131">
        <v>43313</v>
      </c>
      <c r="B422" s="293"/>
      <c r="C422" s="294" t="s">
        <v>492</v>
      </c>
      <c r="D422" s="294"/>
      <c r="E422" s="122"/>
      <c r="F422" s="122" t="s">
        <v>348</v>
      </c>
      <c r="G422" s="520" t="s">
        <v>493</v>
      </c>
      <c r="H422" s="521"/>
      <c r="I422" s="521"/>
      <c r="J422" s="521"/>
      <c r="K422" s="522"/>
      <c r="L422" s="129"/>
      <c r="M422" s="129">
        <f t="shared" si="22"/>
        <v>6529.0700000000179</v>
      </c>
    </row>
    <row r="423" spans="1:13" x14ac:dyDescent="0.2">
      <c r="A423" s="185"/>
      <c r="B423" s="253" t="s">
        <v>349</v>
      </c>
      <c r="C423" s="254" t="s">
        <v>350</v>
      </c>
      <c r="D423" s="122"/>
      <c r="E423" s="122"/>
      <c r="F423" s="146"/>
      <c r="G423" s="133" t="s">
        <v>351</v>
      </c>
      <c r="H423" s="148"/>
      <c r="I423" s="127"/>
      <c r="J423" s="128"/>
      <c r="K423" s="128"/>
      <c r="L423" s="149">
        <v>2820</v>
      </c>
      <c r="M423" s="129">
        <f t="shared" si="22"/>
        <v>3709.0700000000179</v>
      </c>
    </row>
    <row r="424" spans="1:13" x14ac:dyDescent="0.2">
      <c r="A424" s="185">
        <v>43313</v>
      </c>
      <c r="B424" s="151" t="s">
        <v>352</v>
      </c>
      <c r="C424" s="152"/>
      <c r="D424" s="186" t="s">
        <v>353</v>
      </c>
      <c r="E424" s="122"/>
      <c r="F424" s="146" t="s">
        <v>354</v>
      </c>
      <c r="G424" s="147" t="s">
        <v>355</v>
      </c>
      <c r="H424" s="148"/>
      <c r="I424" s="127"/>
      <c r="J424" s="128"/>
      <c r="K424" s="128"/>
      <c r="L424" s="149">
        <v>800</v>
      </c>
      <c r="M424" s="129">
        <f t="shared" si="22"/>
        <v>2909.0700000000179</v>
      </c>
    </row>
    <row r="425" spans="1:13" x14ac:dyDescent="0.2">
      <c r="A425" s="131"/>
      <c r="B425" s="151" t="s">
        <v>356</v>
      </c>
      <c r="C425" s="152"/>
      <c r="D425" s="186" t="s">
        <v>357</v>
      </c>
      <c r="E425" s="122"/>
      <c r="F425" s="122"/>
      <c r="G425" s="147" t="s">
        <v>358</v>
      </c>
      <c r="H425" s="123"/>
      <c r="I425" s="127"/>
      <c r="J425" s="128"/>
      <c r="K425" s="128"/>
      <c r="L425" s="149">
        <v>800</v>
      </c>
      <c r="M425" s="129">
        <f t="shared" si="22"/>
        <v>2109.0700000000179</v>
      </c>
    </row>
    <row r="426" spans="1:13" x14ac:dyDescent="0.2">
      <c r="A426" s="131">
        <v>43327</v>
      </c>
      <c r="B426" s="151" t="s">
        <v>359</v>
      </c>
      <c r="C426" s="152"/>
      <c r="D426" s="186" t="s">
        <v>360</v>
      </c>
      <c r="E426" s="122"/>
      <c r="F426" s="122" t="s">
        <v>361</v>
      </c>
      <c r="G426" s="133" t="s">
        <v>362</v>
      </c>
      <c r="H426" s="123"/>
      <c r="I426" s="127"/>
      <c r="J426" s="128"/>
      <c r="K426" s="128"/>
      <c r="L426" s="149">
        <v>800</v>
      </c>
      <c r="M426" s="129">
        <f t="shared" si="22"/>
        <v>1309.0700000000179</v>
      </c>
    </row>
    <row r="427" spans="1:13" x14ac:dyDescent="0.2">
      <c r="A427" s="255"/>
      <c r="B427" s="116"/>
      <c r="C427" s="256"/>
      <c r="D427" s="256"/>
      <c r="E427" s="256"/>
      <c r="F427" s="256"/>
      <c r="G427" s="101"/>
      <c r="H427" s="101"/>
      <c r="I427" s="202"/>
      <c r="J427" s="257"/>
      <c r="K427" s="257"/>
      <c r="L427" s="257"/>
      <c r="M427" s="129">
        <f t="shared" si="22"/>
        <v>1309.0700000000179</v>
      </c>
    </row>
    <row r="428" spans="1:13" x14ac:dyDescent="0.2">
      <c r="A428" s="255"/>
      <c r="B428" s="116"/>
      <c r="C428" s="256"/>
      <c r="D428" s="256"/>
      <c r="E428" s="256"/>
      <c r="F428" s="256"/>
      <c r="G428" s="101"/>
      <c r="H428" s="101"/>
      <c r="I428" s="202"/>
      <c r="J428" s="257"/>
      <c r="K428" s="257"/>
      <c r="L428" s="257"/>
      <c r="M428" s="129">
        <f t="shared" si="22"/>
        <v>1309.0700000000179</v>
      </c>
    </row>
    <row r="429" spans="1:13" x14ac:dyDescent="0.2">
      <c r="A429" s="255"/>
      <c r="B429" s="116"/>
      <c r="C429" s="256"/>
      <c r="D429" s="256"/>
      <c r="E429" s="256"/>
      <c r="F429" s="256"/>
      <c r="G429" s="101"/>
      <c r="H429" s="101"/>
      <c r="I429" s="202"/>
      <c r="J429" s="257"/>
      <c r="K429" s="257"/>
      <c r="L429" s="257"/>
      <c r="M429" s="129">
        <f t="shared" si="22"/>
        <v>1309.0700000000179</v>
      </c>
    </row>
    <row r="430" spans="1:13" x14ac:dyDescent="0.2">
      <c r="A430" s="255"/>
      <c r="B430" s="116"/>
      <c r="C430" s="256"/>
      <c r="D430" s="256"/>
      <c r="E430" s="256"/>
      <c r="F430" s="256"/>
      <c r="G430" s="101"/>
      <c r="H430" s="101"/>
      <c r="I430" s="202"/>
      <c r="J430" s="257"/>
      <c r="K430" s="257"/>
      <c r="L430" s="257"/>
      <c r="M430" s="129">
        <f t="shared" si="22"/>
        <v>1309.0700000000179</v>
      </c>
    </row>
    <row r="431" spans="1:13" x14ac:dyDescent="0.2">
      <c r="A431" s="131"/>
      <c r="B431" s="132"/>
      <c r="C431" s="122"/>
      <c r="D431" s="122"/>
      <c r="E431" s="122"/>
      <c r="F431" s="122"/>
      <c r="G431" s="133"/>
      <c r="H431" s="123"/>
      <c r="I431" s="127"/>
      <c r="J431" s="128"/>
      <c r="K431" s="128"/>
      <c r="L431" s="149"/>
      <c r="M431" s="129"/>
    </row>
    <row r="432" spans="1:13" ht="13.5" thickBot="1" x14ac:dyDescent="0.25">
      <c r="A432" s="238"/>
      <c r="B432" s="239"/>
      <c r="C432" s="240"/>
      <c r="D432" s="240"/>
      <c r="E432" s="241"/>
      <c r="F432" s="242"/>
      <c r="G432" s="243"/>
      <c r="H432" s="244" t="s">
        <v>250</v>
      </c>
      <c r="I432" s="161">
        <f>SUM(I393:I419)</f>
        <v>9591</v>
      </c>
      <c r="J432" s="245">
        <f>SUM(J393:J419)</f>
        <v>3069.1200000000003</v>
      </c>
      <c r="K432" s="246">
        <f>SUM(K393:K419)</f>
        <v>6521.8799999999992</v>
      </c>
      <c r="L432" s="247">
        <f>SUM(L421:L426)</f>
        <v>12300</v>
      </c>
      <c r="M432" s="248"/>
    </row>
    <row r="433" spans="1:13" ht="13.5" thickBot="1" x14ac:dyDescent="0.25">
      <c r="A433" s="166"/>
      <c r="C433" s="168"/>
      <c r="D433" s="168"/>
      <c r="E433" s="169"/>
      <c r="F433" s="170"/>
      <c r="G433" s="171"/>
      <c r="H433" s="160" t="s">
        <v>13</v>
      </c>
      <c r="I433" s="172"/>
      <c r="J433" s="173"/>
      <c r="K433" s="174"/>
      <c r="L433" s="174"/>
      <c r="M433" s="175">
        <f>+K432-L432+M392</f>
        <v>1309.0700000000124</v>
      </c>
    </row>
    <row r="434" spans="1:13" x14ac:dyDescent="0.2">
      <c r="A434" s="166"/>
      <c r="C434" s="168"/>
      <c r="D434" s="168"/>
      <c r="E434" s="169"/>
      <c r="F434" s="170"/>
      <c r="G434" s="171"/>
      <c r="H434" s="171"/>
      <c r="I434" s="189"/>
      <c r="J434" s="188"/>
      <c r="K434" s="180"/>
      <c r="L434" s="180"/>
      <c r="M434" s="189"/>
    </row>
    <row r="435" spans="1:13" x14ac:dyDescent="0.2">
      <c r="A435" s="527" t="s">
        <v>95</v>
      </c>
      <c r="B435" s="528"/>
      <c r="C435" s="528"/>
      <c r="D435" s="528"/>
      <c r="E435" s="528"/>
      <c r="F435" s="528"/>
      <c r="G435" s="528"/>
      <c r="H435" s="528"/>
      <c r="I435" s="528"/>
      <c r="J435" s="528"/>
      <c r="K435" s="528"/>
      <c r="L435" s="528"/>
      <c r="M435" s="529"/>
    </row>
    <row r="436" spans="1:13" x14ac:dyDescent="0.2">
      <c r="A436" s="530"/>
      <c r="B436" s="531"/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2"/>
    </row>
    <row r="437" spans="1:13" ht="15" x14ac:dyDescent="0.25">
      <c r="A437" s="533" t="s">
        <v>363</v>
      </c>
      <c r="B437" s="534"/>
      <c r="C437" s="534"/>
      <c r="D437" s="534"/>
      <c r="E437" s="534"/>
      <c r="F437" s="534"/>
      <c r="G437" s="534"/>
      <c r="H437" s="534"/>
      <c r="I437" s="534"/>
      <c r="J437" s="534"/>
      <c r="K437" s="534"/>
      <c r="L437" s="534"/>
      <c r="M437" s="534"/>
    </row>
    <row r="438" spans="1:13" x14ac:dyDescent="0.2">
      <c r="A438" s="115" t="s">
        <v>1</v>
      </c>
      <c r="B438" s="116" t="s">
        <v>2</v>
      </c>
      <c r="C438" s="117" t="s">
        <v>3</v>
      </c>
      <c r="D438" s="117" t="s">
        <v>4</v>
      </c>
      <c r="E438" s="117" t="s">
        <v>96</v>
      </c>
      <c r="F438" s="117" t="s">
        <v>5</v>
      </c>
      <c r="G438" s="118" t="s">
        <v>97</v>
      </c>
      <c r="H438" s="118" t="s">
        <v>6</v>
      </c>
      <c r="I438" s="117" t="s">
        <v>7</v>
      </c>
      <c r="J438" s="117" t="s">
        <v>8</v>
      </c>
      <c r="K438" s="117" t="s">
        <v>9</v>
      </c>
      <c r="L438" s="119" t="s">
        <v>10</v>
      </c>
      <c r="M438" s="117" t="s">
        <v>11</v>
      </c>
    </row>
    <row r="439" spans="1:13" x14ac:dyDescent="0.2">
      <c r="A439" s="120"/>
      <c r="B439" s="121"/>
      <c r="C439" s="122"/>
      <c r="D439" s="122"/>
      <c r="E439" s="122"/>
      <c r="F439" s="122"/>
      <c r="G439" s="101"/>
      <c r="H439" s="123"/>
      <c r="I439" s="124"/>
      <c r="J439" s="125"/>
      <c r="K439" s="125"/>
      <c r="L439" s="125"/>
      <c r="M439" s="124">
        <f>M433</f>
        <v>1309.0700000000124</v>
      </c>
    </row>
    <row r="440" spans="1:13" ht="14.25" x14ac:dyDescent="0.2">
      <c r="A440" s="201">
        <v>43313</v>
      </c>
      <c r="B440" s="184" t="s">
        <v>364</v>
      </c>
      <c r="C440" s="126"/>
      <c r="D440" s="122"/>
      <c r="E440" s="122"/>
      <c r="F440" s="122"/>
      <c r="G440" s="126" t="s">
        <v>365</v>
      </c>
      <c r="H440" s="122"/>
      <c r="I440" s="190">
        <v>288</v>
      </c>
      <c r="J440" s="182">
        <f>+I440*0.32</f>
        <v>92.16</v>
      </c>
      <c r="K440" s="182">
        <f>+I440*0.68</f>
        <v>195.84</v>
      </c>
      <c r="L440" s="128"/>
      <c r="M440" s="129">
        <f>+K440-L440+M439</f>
        <v>1504.9100000000124</v>
      </c>
    </row>
    <row r="441" spans="1:13" ht="14.25" x14ac:dyDescent="0.2">
      <c r="A441" s="201">
        <v>43314</v>
      </c>
      <c r="B441" s="184" t="s">
        <v>364</v>
      </c>
      <c r="C441" s="126"/>
      <c r="D441" s="122"/>
      <c r="E441" s="122"/>
      <c r="F441" s="122"/>
      <c r="G441" s="126" t="s">
        <v>365</v>
      </c>
      <c r="H441" s="122"/>
      <c r="I441" s="190">
        <v>616</v>
      </c>
      <c r="J441" s="182">
        <f>+I441*0.32</f>
        <v>197.12</v>
      </c>
      <c r="K441" s="182">
        <f>+I441*0.68</f>
        <v>418.88000000000005</v>
      </c>
      <c r="L441" s="128"/>
      <c r="M441" s="129">
        <f>+K441-L441+M440</f>
        <v>1923.7900000000125</v>
      </c>
    </row>
    <row r="442" spans="1:13" ht="14.25" x14ac:dyDescent="0.2">
      <c r="A442" s="201">
        <v>43315</v>
      </c>
      <c r="B442" s="184" t="s">
        <v>364</v>
      </c>
      <c r="C442" s="126"/>
      <c r="D442" s="122"/>
      <c r="E442" s="183"/>
      <c r="F442" s="183"/>
      <c r="G442" s="126" t="s">
        <v>365</v>
      </c>
      <c r="H442" s="122"/>
      <c r="I442" s="190">
        <v>428</v>
      </c>
      <c r="J442" s="182">
        <f t="shared" ref="J442:J482" si="23">+I442*0.32</f>
        <v>136.96</v>
      </c>
      <c r="K442" s="182">
        <f t="shared" ref="K442:K482" si="24">+I442*0.68</f>
        <v>291.04000000000002</v>
      </c>
      <c r="L442" s="128"/>
      <c r="M442" s="129">
        <f t="shared" ref="M442:M499" si="25">+K442-L442+M441</f>
        <v>2214.8300000000127</v>
      </c>
    </row>
    <row r="443" spans="1:13" ht="14.25" x14ac:dyDescent="0.2">
      <c r="A443" s="201">
        <v>43318</v>
      </c>
      <c r="B443" s="184" t="s">
        <v>364</v>
      </c>
      <c r="C443" s="126"/>
      <c r="D443" s="122"/>
      <c r="E443" s="122"/>
      <c r="F443" s="122"/>
      <c r="G443" s="126" t="s">
        <v>365</v>
      </c>
      <c r="H443" s="122"/>
      <c r="I443" s="190">
        <v>304</v>
      </c>
      <c r="J443" s="182">
        <f t="shared" si="23"/>
        <v>97.28</v>
      </c>
      <c r="K443" s="182">
        <f t="shared" si="24"/>
        <v>206.72000000000003</v>
      </c>
      <c r="L443" s="128"/>
      <c r="M443" s="129">
        <f t="shared" si="25"/>
        <v>2421.5500000000129</v>
      </c>
    </row>
    <row r="444" spans="1:13" ht="14.25" x14ac:dyDescent="0.2">
      <c r="A444" s="201">
        <v>43319</v>
      </c>
      <c r="B444" s="184" t="s">
        <v>364</v>
      </c>
      <c r="C444" s="126"/>
      <c r="D444" s="122"/>
      <c r="E444" s="122"/>
      <c r="F444" s="122"/>
      <c r="G444" s="126" t="s">
        <v>365</v>
      </c>
      <c r="H444" s="122"/>
      <c r="I444" s="190">
        <v>249</v>
      </c>
      <c r="J444" s="182">
        <f t="shared" si="23"/>
        <v>79.680000000000007</v>
      </c>
      <c r="K444" s="182">
        <f t="shared" si="24"/>
        <v>169.32000000000002</v>
      </c>
      <c r="L444" s="128"/>
      <c r="M444" s="129">
        <f t="shared" si="25"/>
        <v>2590.8700000000131</v>
      </c>
    </row>
    <row r="445" spans="1:13" ht="14.25" x14ac:dyDescent="0.2">
      <c r="A445" s="201">
        <v>43320</v>
      </c>
      <c r="B445" s="184" t="s">
        <v>364</v>
      </c>
      <c r="C445" s="126"/>
      <c r="D445" s="122"/>
      <c r="E445" s="122"/>
      <c r="F445" s="122"/>
      <c r="G445" s="126" t="s">
        <v>365</v>
      </c>
      <c r="H445" s="122"/>
      <c r="I445" s="203">
        <v>986</v>
      </c>
      <c r="J445" s="182">
        <f t="shared" si="23"/>
        <v>315.52</v>
      </c>
      <c r="K445" s="182">
        <f t="shared" si="24"/>
        <v>670.48</v>
      </c>
      <c r="L445" s="128"/>
      <c r="M445" s="129">
        <f t="shared" si="25"/>
        <v>3261.3500000000131</v>
      </c>
    </row>
    <row r="446" spans="1:13" ht="14.25" x14ac:dyDescent="0.2">
      <c r="A446" s="201">
        <v>43322</v>
      </c>
      <c r="B446" s="184" t="s">
        <v>364</v>
      </c>
      <c r="C446" s="126"/>
      <c r="D446" s="122"/>
      <c r="E446" s="122"/>
      <c r="F446" s="122"/>
      <c r="G446" s="126" t="s">
        <v>365</v>
      </c>
      <c r="H446" s="122"/>
      <c r="I446" s="203">
        <v>144</v>
      </c>
      <c r="J446" s="182">
        <f t="shared" si="23"/>
        <v>46.08</v>
      </c>
      <c r="K446" s="182">
        <f t="shared" si="24"/>
        <v>97.92</v>
      </c>
      <c r="L446" s="128"/>
      <c r="M446" s="129">
        <f t="shared" si="25"/>
        <v>3359.2700000000132</v>
      </c>
    </row>
    <row r="447" spans="1:13" ht="14.25" x14ac:dyDescent="0.2">
      <c r="A447" s="201">
        <v>43323</v>
      </c>
      <c r="B447" s="184" t="s">
        <v>364</v>
      </c>
      <c r="C447" s="126"/>
      <c r="D447" s="122"/>
      <c r="E447" s="122"/>
      <c r="F447" s="122"/>
      <c r="G447" s="126" t="s">
        <v>365</v>
      </c>
      <c r="H447" s="122"/>
      <c r="I447" s="203">
        <v>414</v>
      </c>
      <c r="J447" s="182">
        <f t="shared" si="23"/>
        <v>132.47999999999999</v>
      </c>
      <c r="K447" s="182">
        <f t="shared" si="24"/>
        <v>281.52000000000004</v>
      </c>
      <c r="L447" s="128"/>
      <c r="M447" s="129">
        <f t="shared" si="25"/>
        <v>3640.7900000000132</v>
      </c>
    </row>
    <row r="448" spans="1:13" ht="14.25" x14ac:dyDescent="0.2">
      <c r="A448" s="201">
        <v>43325</v>
      </c>
      <c r="B448" s="184" t="s">
        <v>364</v>
      </c>
      <c r="C448" s="126"/>
      <c r="D448" s="122"/>
      <c r="E448" s="122"/>
      <c r="F448" s="122"/>
      <c r="G448" s="126" t="s">
        <v>365</v>
      </c>
      <c r="H448" s="122"/>
      <c r="I448" s="203">
        <v>972</v>
      </c>
      <c r="J448" s="182">
        <f t="shared" si="23"/>
        <v>311.04000000000002</v>
      </c>
      <c r="K448" s="182">
        <f t="shared" si="24"/>
        <v>660.96</v>
      </c>
      <c r="L448" s="128"/>
      <c r="M448" s="129">
        <f t="shared" si="25"/>
        <v>4301.7500000000127</v>
      </c>
    </row>
    <row r="449" spans="1:13" ht="14.25" x14ac:dyDescent="0.2">
      <c r="A449" s="201">
        <v>43326</v>
      </c>
      <c r="B449" s="184" t="s">
        <v>364</v>
      </c>
      <c r="C449" s="126"/>
      <c r="D449" s="122"/>
      <c r="E449" s="122"/>
      <c r="F449" s="122"/>
      <c r="G449" s="126" t="s">
        <v>365</v>
      </c>
      <c r="H449" s="122"/>
      <c r="I449" s="203">
        <v>144</v>
      </c>
      <c r="J449" s="182">
        <f t="shared" si="23"/>
        <v>46.08</v>
      </c>
      <c r="K449" s="182">
        <f t="shared" si="24"/>
        <v>97.92</v>
      </c>
      <c r="L449" s="128"/>
      <c r="M449" s="129">
        <f t="shared" si="25"/>
        <v>4399.6700000000128</v>
      </c>
    </row>
    <row r="450" spans="1:13" ht="14.25" x14ac:dyDescent="0.2">
      <c r="A450" s="201">
        <v>43327</v>
      </c>
      <c r="B450" s="184" t="s">
        <v>364</v>
      </c>
      <c r="C450" s="126"/>
      <c r="D450" s="135"/>
      <c r="E450" s="122"/>
      <c r="F450" s="122"/>
      <c r="G450" s="126" t="s">
        <v>365</v>
      </c>
      <c r="H450" s="135"/>
      <c r="I450" s="203">
        <v>548</v>
      </c>
      <c r="J450" s="182">
        <f t="shared" si="23"/>
        <v>175.36</v>
      </c>
      <c r="K450" s="182">
        <f t="shared" si="24"/>
        <v>372.64000000000004</v>
      </c>
      <c r="L450" s="128"/>
      <c r="M450" s="129">
        <f t="shared" si="25"/>
        <v>4772.3100000000131</v>
      </c>
    </row>
    <row r="451" spans="1:13" ht="14.25" x14ac:dyDescent="0.2">
      <c r="A451" s="201">
        <v>43328</v>
      </c>
      <c r="B451" s="184" t="s">
        <v>364</v>
      </c>
      <c r="C451" s="126"/>
      <c r="D451" s="135"/>
      <c r="E451" s="122"/>
      <c r="F451" s="122"/>
      <c r="G451" s="126" t="s">
        <v>365</v>
      </c>
      <c r="H451" s="135"/>
      <c r="I451" s="203">
        <v>314</v>
      </c>
      <c r="J451" s="182">
        <f t="shared" si="23"/>
        <v>100.48</v>
      </c>
      <c r="K451" s="182">
        <f t="shared" si="24"/>
        <v>213.52</v>
      </c>
      <c r="L451" s="128"/>
      <c r="M451" s="129">
        <f t="shared" si="25"/>
        <v>4985.8300000000136</v>
      </c>
    </row>
    <row r="452" spans="1:13" ht="14.25" x14ac:dyDescent="0.2">
      <c r="A452" s="201">
        <v>43329</v>
      </c>
      <c r="B452" s="184" t="s">
        <v>364</v>
      </c>
      <c r="C452" s="126"/>
      <c r="D452" s="135"/>
      <c r="E452" s="122"/>
      <c r="F452" s="122"/>
      <c r="G452" s="126" t="s">
        <v>365</v>
      </c>
      <c r="H452" s="135"/>
      <c r="I452" s="203">
        <v>636</v>
      </c>
      <c r="J452" s="182">
        <f t="shared" si="23"/>
        <v>203.52</v>
      </c>
      <c r="K452" s="182">
        <f t="shared" si="24"/>
        <v>432.48</v>
      </c>
      <c r="L452" s="128"/>
      <c r="M452" s="129">
        <f t="shared" si="25"/>
        <v>5418.310000000014</v>
      </c>
    </row>
    <row r="453" spans="1:13" ht="14.25" x14ac:dyDescent="0.2">
      <c r="A453" s="201">
        <v>43332</v>
      </c>
      <c r="B453" s="184" t="s">
        <v>366</v>
      </c>
      <c r="C453" s="126"/>
      <c r="D453" s="135"/>
      <c r="E453" s="122"/>
      <c r="F453" s="122"/>
      <c r="G453" s="126" t="s">
        <v>367</v>
      </c>
      <c r="H453" s="135"/>
      <c r="I453" s="203">
        <v>458</v>
      </c>
      <c r="J453" s="182">
        <f t="shared" si="23"/>
        <v>146.56</v>
      </c>
      <c r="K453" s="182">
        <f t="shared" si="24"/>
        <v>311.44</v>
      </c>
      <c r="L453" s="128"/>
      <c r="M453" s="129">
        <f t="shared" si="25"/>
        <v>5729.7500000000136</v>
      </c>
    </row>
    <row r="454" spans="1:13" ht="14.25" x14ac:dyDescent="0.2">
      <c r="A454" s="201">
        <v>43333</v>
      </c>
      <c r="B454" s="184" t="s">
        <v>366</v>
      </c>
      <c r="C454" s="122"/>
      <c r="D454" s="122"/>
      <c r="E454" s="256"/>
      <c r="F454" s="122"/>
      <c r="G454" s="126" t="s">
        <v>367</v>
      </c>
      <c r="H454" s="123"/>
      <c r="I454" s="203">
        <v>616</v>
      </c>
      <c r="J454" s="182">
        <f t="shared" si="23"/>
        <v>197.12</v>
      </c>
      <c r="K454" s="182">
        <f t="shared" si="24"/>
        <v>418.88000000000005</v>
      </c>
      <c r="L454" s="128"/>
      <c r="M454" s="129">
        <f t="shared" si="25"/>
        <v>6148.6300000000138</v>
      </c>
    </row>
    <row r="455" spans="1:13" ht="14.25" x14ac:dyDescent="0.2">
      <c r="A455" s="201">
        <v>43334</v>
      </c>
      <c r="B455" s="184" t="s">
        <v>366</v>
      </c>
      <c r="C455" s="122"/>
      <c r="D455" s="122"/>
      <c r="E455" s="256"/>
      <c r="F455" s="122"/>
      <c r="G455" s="126" t="s">
        <v>367</v>
      </c>
      <c r="H455" s="123"/>
      <c r="I455" s="203">
        <v>1068</v>
      </c>
      <c r="J455" s="182">
        <f t="shared" si="23"/>
        <v>341.76</v>
      </c>
      <c r="K455" s="182">
        <f t="shared" si="24"/>
        <v>726.24</v>
      </c>
      <c r="L455" s="128"/>
      <c r="M455" s="129">
        <f t="shared" si="25"/>
        <v>6874.8700000000135</v>
      </c>
    </row>
    <row r="456" spans="1:13" ht="14.25" x14ac:dyDescent="0.2">
      <c r="A456" s="201">
        <v>43335</v>
      </c>
      <c r="B456" s="184" t="s">
        <v>366</v>
      </c>
      <c r="C456" s="122"/>
      <c r="D456" s="122"/>
      <c r="E456" s="256"/>
      <c r="F456" s="122"/>
      <c r="G456" s="126" t="s">
        <v>367</v>
      </c>
      <c r="H456" s="123"/>
      <c r="I456" s="203">
        <v>861</v>
      </c>
      <c r="J456" s="182">
        <f t="shared" si="23"/>
        <v>275.52</v>
      </c>
      <c r="K456" s="182">
        <f t="shared" si="24"/>
        <v>585.48</v>
      </c>
      <c r="L456" s="128"/>
      <c r="M456" s="129">
        <f t="shared" si="25"/>
        <v>7460.3500000000131</v>
      </c>
    </row>
    <row r="457" spans="1:13" ht="14.25" x14ac:dyDescent="0.2">
      <c r="A457" s="201">
        <v>43336</v>
      </c>
      <c r="B457" s="184" t="s">
        <v>366</v>
      </c>
      <c r="C457" s="122"/>
      <c r="D457" s="122"/>
      <c r="E457" s="256"/>
      <c r="F457" s="122"/>
      <c r="G457" s="126" t="s">
        <v>367</v>
      </c>
      <c r="H457" s="123"/>
      <c r="I457" s="203">
        <v>616</v>
      </c>
      <c r="J457" s="182">
        <f t="shared" si="23"/>
        <v>197.12</v>
      </c>
      <c r="K457" s="182">
        <f t="shared" si="24"/>
        <v>418.88000000000005</v>
      </c>
      <c r="L457" s="128"/>
      <c r="M457" s="129">
        <f t="shared" si="25"/>
        <v>7879.2300000000132</v>
      </c>
    </row>
    <row r="458" spans="1:13" ht="14.25" x14ac:dyDescent="0.2">
      <c r="A458" s="201">
        <v>43337</v>
      </c>
      <c r="B458" s="184" t="s">
        <v>366</v>
      </c>
      <c r="C458" s="122"/>
      <c r="D458" s="122"/>
      <c r="E458" s="256"/>
      <c r="F458" s="122"/>
      <c r="G458" s="126" t="s">
        <v>367</v>
      </c>
      <c r="H458" s="123"/>
      <c r="I458" s="203">
        <v>20</v>
      </c>
      <c r="J458" s="182">
        <f t="shared" si="23"/>
        <v>6.4</v>
      </c>
      <c r="K458" s="182">
        <f t="shared" si="24"/>
        <v>13.600000000000001</v>
      </c>
      <c r="L458" s="128"/>
      <c r="M458" s="129">
        <f t="shared" si="25"/>
        <v>7892.8300000000136</v>
      </c>
    </row>
    <row r="459" spans="1:13" ht="14.25" x14ac:dyDescent="0.2">
      <c r="A459" s="201">
        <v>43339</v>
      </c>
      <c r="B459" s="184" t="s">
        <v>366</v>
      </c>
      <c r="C459" s="122"/>
      <c r="D459" s="122"/>
      <c r="E459" s="256"/>
      <c r="F459" s="122"/>
      <c r="G459" s="126" t="s">
        <v>367</v>
      </c>
      <c r="H459" s="123"/>
      <c r="I459" s="203">
        <v>472</v>
      </c>
      <c r="J459" s="182">
        <f t="shared" si="23"/>
        <v>151.04</v>
      </c>
      <c r="K459" s="182">
        <f t="shared" si="24"/>
        <v>320.96000000000004</v>
      </c>
      <c r="L459" s="128"/>
      <c r="M459" s="129">
        <f t="shared" si="25"/>
        <v>8213.7900000000136</v>
      </c>
    </row>
    <row r="460" spans="1:13" ht="14.25" x14ac:dyDescent="0.2">
      <c r="A460" s="201">
        <v>43340</v>
      </c>
      <c r="B460" s="184" t="s">
        <v>368</v>
      </c>
      <c r="C460" s="122"/>
      <c r="D460" s="122"/>
      <c r="E460" s="256"/>
      <c r="F460" s="122"/>
      <c r="G460" s="126" t="s">
        <v>369</v>
      </c>
      <c r="H460" s="123"/>
      <c r="I460" s="203">
        <v>656</v>
      </c>
      <c r="J460" s="182">
        <f t="shared" si="23"/>
        <v>209.92000000000002</v>
      </c>
      <c r="K460" s="182">
        <f t="shared" si="24"/>
        <v>446.08000000000004</v>
      </c>
      <c r="L460" s="128"/>
      <c r="M460" s="129">
        <f t="shared" si="25"/>
        <v>8659.8700000000135</v>
      </c>
    </row>
    <row r="461" spans="1:13" ht="14.25" x14ac:dyDescent="0.2">
      <c r="A461" s="201">
        <v>43341</v>
      </c>
      <c r="B461" s="184" t="s">
        <v>368</v>
      </c>
      <c r="C461" s="141"/>
      <c r="D461" s="141"/>
      <c r="E461" s="258"/>
      <c r="F461" s="141"/>
      <c r="G461" s="126" t="s">
        <v>369</v>
      </c>
      <c r="H461" s="143"/>
      <c r="I461" s="203">
        <v>444</v>
      </c>
      <c r="J461" s="182">
        <f t="shared" si="23"/>
        <v>142.08000000000001</v>
      </c>
      <c r="K461" s="182">
        <f t="shared" si="24"/>
        <v>301.92</v>
      </c>
      <c r="L461" s="145"/>
      <c r="M461" s="129">
        <f t="shared" si="25"/>
        <v>8961.7900000000136</v>
      </c>
    </row>
    <row r="462" spans="1:13" ht="14.25" x14ac:dyDescent="0.2">
      <c r="A462" s="201">
        <v>43678</v>
      </c>
      <c r="B462" s="184"/>
      <c r="C462" s="122"/>
      <c r="D462" s="122"/>
      <c r="E462" s="256"/>
      <c r="F462" s="122"/>
      <c r="G462" s="126"/>
      <c r="H462" s="123"/>
      <c r="I462" s="203">
        <v>616</v>
      </c>
      <c r="J462" s="182">
        <f t="shared" si="23"/>
        <v>197.12</v>
      </c>
      <c r="K462" s="182">
        <f t="shared" si="24"/>
        <v>418.88000000000005</v>
      </c>
      <c r="L462" s="145"/>
      <c r="M462" s="129">
        <f t="shared" si="25"/>
        <v>9380.6700000000128</v>
      </c>
    </row>
    <row r="463" spans="1:13" ht="14.25" x14ac:dyDescent="0.2">
      <c r="A463" s="201">
        <v>43679</v>
      </c>
      <c r="B463" s="184"/>
      <c r="C463" s="122"/>
      <c r="D463" s="122"/>
      <c r="E463" s="256"/>
      <c r="F463" s="122"/>
      <c r="G463" s="126"/>
      <c r="H463" s="123"/>
      <c r="I463" s="203">
        <v>120</v>
      </c>
      <c r="J463" s="182">
        <f t="shared" si="23"/>
        <v>38.4</v>
      </c>
      <c r="K463" s="182">
        <f t="shared" si="24"/>
        <v>81.600000000000009</v>
      </c>
      <c r="L463" s="145"/>
      <c r="M463" s="129">
        <f t="shared" si="25"/>
        <v>9462.2700000000132</v>
      </c>
    </row>
    <row r="464" spans="1:13" ht="14.25" x14ac:dyDescent="0.2">
      <c r="A464" s="201">
        <v>43680</v>
      </c>
      <c r="B464" s="184"/>
      <c r="C464" s="122"/>
      <c r="D464" s="122"/>
      <c r="E464" s="256"/>
      <c r="F464" s="122"/>
      <c r="G464" s="126"/>
      <c r="H464" s="123"/>
      <c r="I464" s="203">
        <v>144</v>
      </c>
      <c r="J464" s="182">
        <f t="shared" si="23"/>
        <v>46.08</v>
      </c>
      <c r="K464" s="182">
        <f t="shared" si="24"/>
        <v>97.92</v>
      </c>
      <c r="L464" s="145"/>
      <c r="M464" s="129">
        <f t="shared" si="25"/>
        <v>9560.1900000000132</v>
      </c>
    </row>
    <row r="465" spans="1:13" ht="14.25" x14ac:dyDescent="0.2">
      <c r="A465" s="201">
        <v>43681</v>
      </c>
      <c r="B465" s="184"/>
      <c r="C465" s="122"/>
      <c r="D465" s="122"/>
      <c r="E465" s="256"/>
      <c r="F465" s="122"/>
      <c r="G465" s="126"/>
      <c r="H465" s="123"/>
      <c r="I465" s="203">
        <v>144</v>
      </c>
      <c r="J465" s="182">
        <f t="shared" si="23"/>
        <v>46.08</v>
      </c>
      <c r="K465" s="182">
        <f t="shared" si="24"/>
        <v>97.92</v>
      </c>
      <c r="L465" s="145"/>
      <c r="M465" s="129">
        <f t="shared" si="25"/>
        <v>9658.1100000000133</v>
      </c>
    </row>
    <row r="466" spans="1:13" ht="14.25" x14ac:dyDescent="0.2">
      <c r="A466" s="201">
        <v>43684</v>
      </c>
      <c r="B466" s="184"/>
      <c r="C466" s="122"/>
      <c r="D466" s="122"/>
      <c r="E466" s="256"/>
      <c r="F466" s="122"/>
      <c r="G466" s="126"/>
      <c r="H466" s="123"/>
      <c r="I466" s="203">
        <v>616</v>
      </c>
      <c r="J466" s="182">
        <f t="shared" si="23"/>
        <v>197.12</v>
      </c>
      <c r="K466" s="182">
        <f t="shared" si="24"/>
        <v>418.88000000000005</v>
      </c>
      <c r="L466" s="145"/>
      <c r="M466" s="129">
        <f t="shared" si="25"/>
        <v>10076.990000000013</v>
      </c>
    </row>
    <row r="467" spans="1:13" ht="14.25" x14ac:dyDescent="0.2">
      <c r="A467" s="201">
        <v>43685</v>
      </c>
      <c r="B467" s="184"/>
      <c r="C467" s="122"/>
      <c r="D467" s="122"/>
      <c r="E467" s="256"/>
      <c r="F467" s="122"/>
      <c r="G467" s="126"/>
      <c r="H467" s="123"/>
      <c r="I467" s="203">
        <v>658</v>
      </c>
      <c r="J467" s="182">
        <f t="shared" si="23"/>
        <v>210.56</v>
      </c>
      <c r="K467" s="182">
        <f t="shared" si="24"/>
        <v>447.44000000000005</v>
      </c>
      <c r="L467" s="145"/>
      <c r="M467" s="129">
        <f t="shared" si="25"/>
        <v>10524.430000000013</v>
      </c>
    </row>
    <row r="468" spans="1:13" ht="14.25" x14ac:dyDescent="0.2">
      <c r="A468" s="201">
        <v>43687</v>
      </c>
      <c r="B468" s="184"/>
      <c r="C468" s="122"/>
      <c r="D468" s="122"/>
      <c r="E468" s="256"/>
      <c r="F468" s="122"/>
      <c r="G468" s="126"/>
      <c r="H468" s="123"/>
      <c r="I468" s="203">
        <v>174</v>
      </c>
      <c r="J468" s="182">
        <f t="shared" si="23"/>
        <v>55.68</v>
      </c>
      <c r="K468" s="182">
        <f t="shared" si="24"/>
        <v>118.32000000000001</v>
      </c>
      <c r="L468" s="145"/>
      <c r="M468" s="129">
        <f t="shared" si="25"/>
        <v>10642.750000000013</v>
      </c>
    </row>
    <row r="469" spans="1:13" ht="14.25" x14ac:dyDescent="0.2">
      <c r="A469" s="201">
        <v>43688</v>
      </c>
      <c r="B469" s="184"/>
      <c r="C469" s="122"/>
      <c r="D469" s="122"/>
      <c r="E469" s="256"/>
      <c r="F469" s="122"/>
      <c r="G469" s="126"/>
      <c r="H469" s="123"/>
      <c r="I469" s="203">
        <v>164</v>
      </c>
      <c r="J469" s="182">
        <f t="shared" si="23"/>
        <v>52.480000000000004</v>
      </c>
      <c r="K469" s="182">
        <f t="shared" si="24"/>
        <v>111.52000000000001</v>
      </c>
      <c r="L469" s="145"/>
      <c r="M469" s="129">
        <f t="shared" si="25"/>
        <v>10754.270000000013</v>
      </c>
    </row>
    <row r="470" spans="1:13" ht="14.25" x14ac:dyDescent="0.2">
      <c r="A470" s="201">
        <v>43691</v>
      </c>
      <c r="B470" s="184"/>
      <c r="C470" s="122"/>
      <c r="D470" s="122"/>
      <c r="E470" s="256"/>
      <c r="F470" s="122"/>
      <c r="G470" s="126"/>
      <c r="H470" s="123"/>
      <c r="I470" s="203">
        <v>1560</v>
      </c>
      <c r="J470" s="182">
        <f t="shared" si="23"/>
        <v>499.2</v>
      </c>
      <c r="K470" s="182">
        <f t="shared" si="24"/>
        <v>1060.8000000000002</v>
      </c>
      <c r="L470" s="145"/>
      <c r="M470" s="129">
        <f t="shared" si="25"/>
        <v>11815.070000000014</v>
      </c>
    </row>
    <row r="471" spans="1:13" ht="14.25" x14ac:dyDescent="0.2">
      <c r="A471" s="201">
        <v>43692</v>
      </c>
      <c r="B471" s="184"/>
      <c r="C471" s="122"/>
      <c r="D471" s="122"/>
      <c r="E471" s="256"/>
      <c r="F471" s="122"/>
      <c r="G471" s="126"/>
      <c r="H471" s="123"/>
      <c r="I471" s="203">
        <v>1206</v>
      </c>
      <c r="J471" s="182">
        <f t="shared" si="23"/>
        <v>385.92</v>
      </c>
      <c r="K471" s="182">
        <f t="shared" si="24"/>
        <v>820.08</v>
      </c>
      <c r="L471" s="145"/>
      <c r="M471" s="129">
        <f t="shared" si="25"/>
        <v>12635.150000000014</v>
      </c>
    </row>
    <row r="472" spans="1:13" ht="14.25" x14ac:dyDescent="0.2">
      <c r="A472" s="201">
        <v>43693</v>
      </c>
      <c r="B472" s="184"/>
      <c r="C472" s="122"/>
      <c r="D472" s="122"/>
      <c r="E472" s="256"/>
      <c r="F472" s="122"/>
      <c r="G472" s="126"/>
      <c r="H472" s="123"/>
      <c r="I472" s="203">
        <v>656</v>
      </c>
      <c r="J472" s="182">
        <f t="shared" si="23"/>
        <v>209.92000000000002</v>
      </c>
      <c r="K472" s="182">
        <f t="shared" si="24"/>
        <v>446.08000000000004</v>
      </c>
      <c r="L472" s="145"/>
      <c r="M472" s="129">
        <f t="shared" si="25"/>
        <v>13081.230000000014</v>
      </c>
    </row>
    <row r="473" spans="1:13" ht="14.25" x14ac:dyDescent="0.2">
      <c r="A473" s="201">
        <v>43694</v>
      </c>
      <c r="B473" s="184"/>
      <c r="C473" s="122"/>
      <c r="D473" s="122"/>
      <c r="E473" s="256"/>
      <c r="F473" s="122"/>
      <c r="G473" s="126"/>
      <c r="H473" s="123"/>
      <c r="I473" s="203">
        <v>472</v>
      </c>
      <c r="J473" s="182">
        <f t="shared" si="23"/>
        <v>151.04</v>
      </c>
      <c r="K473" s="182">
        <f t="shared" si="24"/>
        <v>320.96000000000004</v>
      </c>
      <c r="L473" s="145"/>
      <c r="M473" s="129">
        <f t="shared" si="25"/>
        <v>13402.190000000013</v>
      </c>
    </row>
    <row r="474" spans="1:13" ht="14.25" x14ac:dyDescent="0.2">
      <c r="A474" s="201">
        <v>43698</v>
      </c>
      <c r="B474" s="184"/>
      <c r="C474" s="122"/>
      <c r="D474" s="122"/>
      <c r="E474" s="256"/>
      <c r="F474" s="122"/>
      <c r="G474" s="126"/>
      <c r="H474" s="123"/>
      <c r="I474" s="203">
        <v>752</v>
      </c>
      <c r="J474" s="182">
        <f t="shared" si="23"/>
        <v>240.64000000000001</v>
      </c>
      <c r="K474" s="182">
        <f t="shared" si="24"/>
        <v>511.36</v>
      </c>
      <c r="L474" s="145"/>
      <c r="M474" s="129">
        <f t="shared" si="25"/>
        <v>13913.550000000014</v>
      </c>
    </row>
    <row r="475" spans="1:13" x14ac:dyDescent="0.2">
      <c r="A475" s="131">
        <v>43699</v>
      </c>
      <c r="B475" s="212"/>
      <c r="C475" s="122"/>
      <c r="D475" s="122"/>
      <c r="E475" s="256"/>
      <c r="F475" s="122"/>
      <c r="G475" s="133"/>
      <c r="H475" s="123"/>
      <c r="I475" s="127">
        <v>452</v>
      </c>
      <c r="J475" s="128">
        <f t="shared" si="23"/>
        <v>144.64000000000001</v>
      </c>
      <c r="K475" s="128">
        <f t="shared" si="24"/>
        <v>307.36</v>
      </c>
      <c r="L475" s="128"/>
      <c r="M475" s="129">
        <f t="shared" si="25"/>
        <v>14220.910000000014</v>
      </c>
    </row>
    <row r="476" spans="1:13" x14ac:dyDescent="0.2">
      <c r="A476" s="131">
        <v>43700</v>
      </c>
      <c r="B476" s="212"/>
      <c r="C476" s="122"/>
      <c r="D476" s="122"/>
      <c r="E476" s="256"/>
      <c r="F476" s="122"/>
      <c r="G476" s="133"/>
      <c r="H476" s="123"/>
      <c r="I476" s="127">
        <v>770</v>
      </c>
      <c r="J476" s="128">
        <f t="shared" si="23"/>
        <v>246.4</v>
      </c>
      <c r="K476" s="128">
        <f t="shared" si="24"/>
        <v>523.6</v>
      </c>
      <c r="L476" s="128"/>
      <c r="M476" s="129">
        <f t="shared" si="25"/>
        <v>14744.510000000015</v>
      </c>
    </row>
    <row r="477" spans="1:13" x14ac:dyDescent="0.2">
      <c r="A477" s="131">
        <v>43701</v>
      </c>
      <c r="B477" s="212"/>
      <c r="C477" s="122"/>
      <c r="D477" s="122"/>
      <c r="E477" s="256"/>
      <c r="F477" s="122"/>
      <c r="G477" s="133"/>
      <c r="H477" s="123"/>
      <c r="I477" s="127">
        <v>964</v>
      </c>
      <c r="J477" s="128">
        <f t="shared" si="23"/>
        <v>308.48</v>
      </c>
      <c r="K477" s="128">
        <f t="shared" si="24"/>
        <v>655.5200000000001</v>
      </c>
      <c r="L477" s="128"/>
      <c r="M477" s="129">
        <f t="shared" si="25"/>
        <v>15400.030000000015</v>
      </c>
    </row>
    <row r="478" spans="1:13" x14ac:dyDescent="0.2">
      <c r="A478" s="131">
        <v>43702</v>
      </c>
      <c r="B478" s="212"/>
      <c r="C478" s="122"/>
      <c r="D478" s="122"/>
      <c r="E478" s="256"/>
      <c r="F478" s="122"/>
      <c r="G478" s="133"/>
      <c r="H478" s="123"/>
      <c r="I478" s="127">
        <v>315</v>
      </c>
      <c r="J478" s="128">
        <f t="shared" si="23"/>
        <v>100.8</v>
      </c>
      <c r="K478" s="128">
        <f t="shared" si="24"/>
        <v>214.20000000000002</v>
      </c>
      <c r="L478" s="128"/>
      <c r="M478" s="129">
        <f t="shared" si="25"/>
        <v>15614.230000000016</v>
      </c>
    </row>
    <row r="479" spans="1:13" x14ac:dyDescent="0.2">
      <c r="A479" s="131">
        <v>43704</v>
      </c>
      <c r="B479" s="212"/>
      <c r="C479" s="122"/>
      <c r="D479" s="122"/>
      <c r="E479" s="256"/>
      <c r="F479" s="122"/>
      <c r="G479" s="133"/>
      <c r="H479" s="123"/>
      <c r="I479" s="127">
        <v>164</v>
      </c>
      <c r="J479" s="128">
        <f t="shared" si="23"/>
        <v>52.480000000000004</v>
      </c>
      <c r="K479" s="128">
        <f t="shared" si="24"/>
        <v>111.52000000000001</v>
      </c>
      <c r="L479" s="128"/>
      <c r="M479" s="129">
        <f t="shared" si="25"/>
        <v>15725.750000000016</v>
      </c>
    </row>
    <row r="480" spans="1:13" x14ac:dyDescent="0.2">
      <c r="A480" s="131">
        <v>43705</v>
      </c>
      <c r="B480" s="212"/>
      <c r="C480" s="122"/>
      <c r="D480" s="122"/>
      <c r="E480" s="256"/>
      <c r="F480" s="122"/>
      <c r="G480" s="133"/>
      <c r="H480" s="123"/>
      <c r="I480" s="127">
        <v>164</v>
      </c>
      <c r="J480" s="128">
        <f t="shared" si="23"/>
        <v>52.480000000000004</v>
      </c>
      <c r="K480" s="128">
        <f t="shared" si="24"/>
        <v>111.52000000000001</v>
      </c>
      <c r="L480" s="128"/>
      <c r="M480" s="129">
        <f t="shared" si="25"/>
        <v>15837.270000000017</v>
      </c>
    </row>
    <row r="481" spans="1:13" x14ac:dyDescent="0.2">
      <c r="A481" s="131">
        <v>43706</v>
      </c>
      <c r="B481" s="212"/>
      <c r="C481" s="122"/>
      <c r="D481" s="122"/>
      <c r="E481" s="256"/>
      <c r="F481" s="122"/>
      <c r="G481" s="133"/>
      <c r="H481" s="123"/>
      <c r="I481" s="127">
        <v>598</v>
      </c>
      <c r="J481" s="128">
        <f t="shared" si="23"/>
        <v>191.36</v>
      </c>
      <c r="K481" s="128">
        <f t="shared" si="24"/>
        <v>406.64000000000004</v>
      </c>
      <c r="L481" s="128"/>
      <c r="M481" s="129">
        <f t="shared" si="25"/>
        <v>16243.910000000016</v>
      </c>
    </row>
    <row r="482" spans="1:13" x14ac:dyDescent="0.2">
      <c r="A482" s="131">
        <v>43708</v>
      </c>
      <c r="B482" s="212"/>
      <c r="C482" s="122"/>
      <c r="D482" s="122"/>
      <c r="E482" s="256"/>
      <c r="F482" s="122"/>
      <c r="G482" s="133"/>
      <c r="H482" s="123"/>
      <c r="I482" s="127">
        <v>552</v>
      </c>
      <c r="J482" s="128">
        <f t="shared" si="23"/>
        <v>176.64000000000001</v>
      </c>
      <c r="K482" s="128">
        <f t="shared" si="24"/>
        <v>375.36</v>
      </c>
      <c r="L482" s="128"/>
      <c r="M482" s="129">
        <f t="shared" si="25"/>
        <v>16619.270000000015</v>
      </c>
    </row>
    <row r="483" spans="1:13" x14ac:dyDescent="0.2">
      <c r="A483" s="131"/>
      <c r="B483" s="212"/>
      <c r="C483" s="122"/>
      <c r="D483" s="122"/>
      <c r="E483" s="256"/>
      <c r="F483" s="122"/>
      <c r="G483" s="133"/>
      <c r="H483" s="123"/>
      <c r="I483" s="127"/>
      <c r="J483" s="128"/>
      <c r="K483" s="128"/>
      <c r="L483" s="128"/>
      <c r="M483" s="129">
        <f t="shared" si="25"/>
        <v>16619.270000000015</v>
      </c>
    </row>
    <row r="484" spans="1:13" x14ac:dyDescent="0.2">
      <c r="A484" s="131"/>
      <c r="B484" s="212"/>
      <c r="C484" s="122"/>
      <c r="D484" s="122"/>
      <c r="E484" s="256"/>
      <c r="F484" s="122"/>
      <c r="G484" s="133"/>
      <c r="H484" s="123"/>
      <c r="I484" s="127"/>
      <c r="J484" s="128"/>
      <c r="K484" s="128"/>
      <c r="L484" s="128"/>
      <c r="M484" s="129">
        <f t="shared" si="25"/>
        <v>16619.270000000015</v>
      </c>
    </row>
    <row r="485" spans="1:13" x14ac:dyDescent="0.2">
      <c r="A485" s="131"/>
      <c r="B485" s="212"/>
      <c r="C485" s="122"/>
      <c r="D485" s="122"/>
      <c r="E485" s="256"/>
      <c r="F485" s="122"/>
      <c r="G485" s="133"/>
      <c r="H485" s="123"/>
      <c r="I485" s="127"/>
      <c r="J485" s="128"/>
      <c r="K485" s="128"/>
      <c r="L485" s="128"/>
      <c r="M485" s="129">
        <f t="shared" si="25"/>
        <v>16619.270000000015</v>
      </c>
    </row>
    <row r="486" spans="1:13" x14ac:dyDescent="0.2">
      <c r="A486" s="131"/>
      <c r="B486" s="212"/>
      <c r="C486" s="122"/>
      <c r="D486" s="122"/>
      <c r="E486" s="256"/>
      <c r="F486" s="122"/>
      <c r="G486" s="133"/>
      <c r="H486" s="123"/>
      <c r="I486" s="127"/>
      <c r="J486" s="128"/>
      <c r="K486" s="128"/>
      <c r="L486" s="128"/>
      <c r="M486" s="129">
        <f t="shared" si="25"/>
        <v>16619.270000000015</v>
      </c>
    </row>
    <row r="487" spans="1:13" x14ac:dyDescent="0.2">
      <c r="A487" s="131"/>
      <c r="B487" s="212"/>
      <c r="C487" s="122"/>
      <c r="D487" s="122"/>
      <c r="E487" s="256"/>
      <c r="F487" s="122"/>
      <c r="G487" s="133"/>
      <c r="H487" s="123"/>
      <c r="I487" s="127"/>
      <c r="J487" s="128"/>
      <c r="K487" s="128"/>
      <c r="L487" s="128"/>
      <c r="M487" s="129">
        <f t="shared" si="25"/>
        <v>16619.270000000015</v>
      </c>
    </row>
    <row r="488" spans="1:13" x14ac:dyDescent="0.2">
      <c r="A488" s="131"/>
      <c r="B488" s="212"/>
      <c r="C488" s="122"/>
      <c r="D488" s="122"/>
      <c r="E488" s="256"/>
      <c r="F488" s="122"/>
      <c r="G488" s="133"/>
      <c r="H488" s="123"/>
      <c r="I488" s="127"/>
      <c r="J488" s="128"/>
      <c r="K488" s="128"/>
      <c r="L488" s="128"/>
      <c r="M488" s="129">
        <f t="shared" si="25"/>
        <v>16619.270000000015</v>
      </c>
    </row>
    <row r="489" spans="1:13" ht="15" x14ac:dyDescent="0.25">
      <c r="A489" s="533" t="s">
        <v>370</v>
      </c>
      <c r="B489" s="534"/>
      <c r="C489" s="534"/>
      <c r="D489" s="534"/>
      <c r="E489" s="534"/>
      <c r="F489" s="534"/>
      <c r="G489" s="534"/>
      <c r="H489" s="534"/>
      <c r="I489" s="534"/>
      <c r="J489" s="534"/>
      <c r="K489" s="534"/>
      <c r="L489" s="534"/>
      <c r="M489" s="129">
        <f t="shared" si="25"/>
        <v>16619.270000000015</v>
      </c>
    </row>
    <row r="490" spans="1:13" ht="15" x14ac:dyDescent="0.25">
      <c r="A490" s="213"/>
      <c r="B490" s="216"/>
      <c r="C490" s="216"/>
      <c r="D490" s="216"/>
      <c r="E490" s="216"/>
      <c r="F490" s="216"/>
      <c r="G490" s="216"/>
      <c r="I490" s="216"/>
      <c r="J490" s="216"/>
      <c r="K490" s="216"/>
      <c r="L490" s="129"/>
      <c r="M490" s="129">
        <f t="shared" si="25"/>
        <v>16619.270000000015</v>
      </c>
    </row>
    <row r="491" spans="1:13" x14ac:dyDescent="0.2">
      <c r="A491" s="219">
        <v>43339</v>
      </c>
      <c r="B491" s="220" t="s">
        <v>371</v>
      </c>
      <c r="C491" s="221"/>
      <c r="D491" s="222" t="s">
        <v>372</v>
      </c>
      <c r="E491" s="223"/>
      <c r="F491" s="223" t="s">
        <v>373</v>
      </c>
      <c r="G491" s="133" t="s">
        <v>374</v>
      </c>
      <c r="H491" s="225"/>
      <c r="I491" s="226"/>
      <c r="J491" s="227"/>
      <c r="K491" s="228"/>
      <c r="L491" s="229">
        <v>1700</v>
      </c>
      <c r="M491" s="129">
        <f t="shared" si="25"/>
        <v>14919.270000000015</v>
      </c>
    </row>
    <row r="492" spans="1:13" x14ac:dyDescent="0.2">
      <c r="A492" s="131"/>
      <c r="B492" s="259" t="s">
        <v>375</v>
      </c>
      <c r="C492" s="260"/>
      <c r="D492" s="186" t="s">
        <v>376</v>
      </c>
      <c r="E492" s="122"/>
      <c r="F492" s="251"/>
      <c r="G492" s="133" t="s">
        <v>377</v>
      </c>
      <c r="H492" s="123"/>
      <c r="I492" s="127"/>
      <c r="J492" s="128"/>
      <c r="K492" s="128"/>
      <c r="L492" s="149">
        <v>950</v>
      </c>
      <c r="M492" s="129">
        <f t="shared" si="25"/>
        <v>13969.270000000015</v>
      </c>
    </row>
    <row r="493" spans="1:13" x14ac:dyDescent="0.2">
      <c r="A493" s="131"/>
      <c r="B493" s="151" t="s">
        <v>378</v>
      </c>
      <c r="C493" s="152"/>
      <c r="D493" s="186" t="s">
        <v>379</v>
      </c>
      <c r="E493" s="122"/>
      <c r="F493" s="122"/>
      <c r="G493" s="133" t="s">
        <v>380</v>
      </c>
      <c r="H493" s="123"/>
      <c r="I493" s="127"/>
      <c r="J493" s="128"/>
      <c r="K493" s="128"/>
      <c r="L493" s="149">
        <v>850</v>
      </c>
      <c r="M493" s="129">
        <f t="shared" si="25"/>
        <v>13119.270000000015</v>
      </c>
    </row>
    <row r="494" spans="1:13" ht="60" x14ac:dyDescent="0.25">
      <c r="A494" s="131">
        <v>43340</v>
      </c>
      <c r="B494" s="523" t="s">
        <v>339</v>
      </c>
      <c r="C494" s="524"/>
      <c r="D494" s="122"/>
      <c r="E494" s="122"/>
      <c r="F494" s="251" t="s">
        <v>337</v>
      </c>
      <c r="G494" s="252" t="s">
        <v>381</v>
      </c>
      <c r="H494" s="123"/>
      <c r="I494" s="127"/>
      <c r="J494" s="128"/>
      <c r="K494" s="128"/>
      <c r="L494" s="149">
        <v>300</v>
      </c>
      <c r="M494" s="129">
        <f t="shared" si="25"/>
        <v>12819.270000000015</v>
      </c>
    </row>
    <row r="495" spans="1:13" x14ac:dyDescent="0.2">
      <c r="A495" s="131"/>
      <c r="B495" s="132"/>
      <c r="C495" s="122"/>
      <c r="D495" s="122"/>
      <c r="E495" s="122"/>
      <c r="F495" s="122"/>
      <c r="G495" s="133"/>
      <c r="H495" s="123"/>
      <c r="I495" s="127"/>
      <c r="J495" s="128"/>
      <c r="K495" s="128"/>
      <c r="L495" s="149"/>
      <c r="M495" s="129">
        <f t="shared" si="25"/>
        <v>12819.270000000015</v>
      </c>
    </row>
    <row r="496" spans="1:13" x14ac:dyDescent="0.2">
      <c r="A496" s="219"/>
      <c r="B496" s="261"/>
      <c r="C496" s="223"/>
      <c r="D496" s="223"/>
      <c r="E496" s="223"/>
      <c r="F496" s="223"/>
      <c r="G496" s="133"/>
      <c r="H496" s="225"/>
      <c r="I496" s="226"/>
      <c r="J496" s="227"/>
      <c r="K496" s="228"/>
      <c r="L496" s="229"/>
      <c r="M496" s="129">
        <f t="shared" si="25"/>
        <v>12819.270000000015</v>
      </c>
    </row>
    <row r="497" spans="1:13" x14ac:dyDescent="0.2">
      <c r="A497" s="131"/>
      <c r="B497" s="523"/>
      <c r="C497" s="524"/>
      <c r="D497" s="122"/>
      <c r="E497" s="122"/>
      <c r="F497" s="251"/>
      <c r="G497" s="133"/>
      <c r="H497" s="123"/>
      <c r="I497" s="127"/>
      <c r="J497" s="128"/>
      <c r="K497" s="128"/>
      <c r="L497" s="149"/>
      <c r="M497" s="129">
        <f t="shared" si="25"/>
        <v>12819.270000000015</v>
      </c>
    </row>
    <row r="498" spans="1:13" x14ac:dyDescent="0.2">
      <c r="A498" s="131"/>
      <c r="B498" s="132"/>
      <c r="C498" s="122"/>
      <c r="D498" s="122"/>
      <c r="E498" s="122"/>
      <c r="F498" s="122"/>
      <c r="G498" s="133"/>
      <c r="H498" s="123"/>
      <c r="I498" s="127"/>
      <c r="J498" s="128"/>
      <c r="K498" s="128"/>
      <c r="L498" s="149"/>
      <c r="M498" s="129">
        <f t="shared" si="25"/>
        <v>12819.270000000015</v>
      </c>
    </row>
    <row r="499" spans="1:13" ht="15" x14ac:dyDescent="0.25">
      <c r="A499" s="131"/>
      <c r="B499" s="523"/>
      <c r="C499" s="524"/>
      <c r="D499" s="122"/>
      <c r="E499" s="122"/>
      <c r="F499" s="251"/>
      <c r="G499" s="252"/>
      <c r="H499" s="123"/>
      <c r="I499" s="127"/>
      <c r="J499" s="128"/>
      <c r="K499" s="128"/>
      <c r="L499" s="149"/>
      <c r="M499" s="129">
        <f t="shared" si="25"/>
        <v>12819.270000000015</v>
      </c>
    </row>
    <row r="500" spans="1:13" x14ac:dyDescent="0.2">
      <c r="A500" s="230"/>
      <c r="B500" s="231"/>
      <c r="C500" s="232"/>
      <c r="D500" s="232"/>
      <c r="E500" s="232"/>
      <c r="F500" s="232"/>
      <c r="G500" s="133"/>
      <c r="H500" s="123"/>
      <c r="I500" s="127"/>
      <c r="J500" s="128"/>
      <c r="K500" s="128"/>
      <c r="L500" s="149"/>
      <c r="M500" s="129"/>
    </row>
    <row r="501" spans="1:13" ht="13.5" thickBot="1" x14ac:dyDescent="0.25">
      <c r="A501" s="238"/>
      <c r="B501" s="239"/>
      <c r="C501" s="240"/>
      <c r="D501" s="240"/>
      <c r="E501" s="241"/>
      <c r="F501" s="242"/>
      <c r="G501" s="243"/>
      <c r="H501" s="244" t="s">
        <v>250</v>
      </c>
      <c r="I501" s="161">
        <f>SUM(I440:I495)</f>
        <v>22515</v>
      </c>
      <c r="J501" s="245">
        <f>SUM(J440:J495)</f>
        <v>7204.8</v>
      </c>
      <c r="K501" s="246">
        <f>SUM(K440:K488)</f>
        <v>15310.200000000003</v>
      </c>
      <c r="L501" s="247">
        <f>SUM(L490:L499)</f>
        <v>3800</v>
      </c>
      <c r="M501" s="248"/>
    </row>
    <row r="502" spans="1:13" ht="13.5" thickBot="1" x14ac:dyDescent="0.25">
      <c r="A502" s="166"/>
      <c r="C502" s="168"/>
      <c r="D502" s="168"/>
      <c r="E502" s="169"/>
      <c r="F502" s="170"/>
      <c r="G502" s="171"/>
      <c r="H502" s="160" t="s">
        <v>13</v>
      </c>
      <c r="I502" s="172"/>
      <c r="J502" s="173"/>
      <c r="K502" s="174"/>
      <c r="L502" s="174"/>
      <c r="M502" s="175">
        <f>+K501-L501+M439</f>
        <v>12819.270000000015</v>
      </c>
    </row>
    <row r="503" spans="1:13" x14ac:dyDescent="0.2">
      <c r="A503" s="166"/>
      <c r="C503" s="168"/>
      <c r="D503" s="168"/>
      <c r="E503" s="169"/>
      <c r="F503" s="170"/>
      <c r="G503" s="171"/>
      <c r="H503" s="171"/>
      <c r="I503" s="189"/>
      <c r="J503" s="188"/>
      <c r="K503" s="180"/>
      <c r="L503" s="180"/>
      <c r="M503" s="189"/>
    </row>
    <row r="504" spans="1:13" x14ac:dyDescent="0.2">
      <c r="A504" s="166"/>
      <c r="C504" s="168"/>
      <c r="D504" s="168"/>
      <c r="E504" s="169"/>
      <c r="F504" s="170"/>
      <c r="G504" s="171"/>
      <c r="H504" s="171"/>
      <c r="I504" s="189"/>
      <c r="J504" s="188"/>
      <c r="K504" s="180"/>
      <c r="L504" s="180"/>
      <c r="M504" s="189"/>
    </row>
    <row r="505" spans="1:13" x14ac:dyDescent="0.2">
      <c r="A505" s="527" t="s">
        <v>95</v>
      </c>
      <c r="B505" s="528"/>
      <c r="C505" s="528"/>
      <c r="D505" s="528"/>
      <c r="E505" s="528"/>
      <c r="F505" s="528"/>
      <c r="G505" s="528"/>
      <c r="H505" s="528"/>
      <c r="I505" s="528"/>
      <c r="J505" s="528"/>
      <c r="K505" s="528"/>
      <c r="L505" s="528"/>
      <c r="M505" s="529"/>
    </row>
    <row r="506" spans="1:13" x14ac:dyDescent="0.2">
      <c r="A506" s="530"/>
      <c r="B506" s="531"/>
      <c r="C506" s="531"/>
      <c r="D506" s="531"/>
      <c r="E506" s="531"/>
      <c r="F506" s="531"/>
      <c r="G506" s="531"/>
      <c r="H506" s="531"/>
      <c r="I506" s="531"/>
      <c r="J506" s="531"/>
      <c r="K506" s="531"/>
      <c r="L506" s="531"/>
      <c r="M506" s="532"/>
    </row>
    <row r="507" spans="1:13" ht="15" x14ac:dyDescent="0.25">
      <c r="A507" s="533" t="s">
        <v>382</v>
      </c>
      <c r="B507" s="534"/>
      <c r="C507" s="534"/>
      <c r="D507" s="534"/>
      <c r="E507" s="534"/>
      <c r="F507" s="534"/>
      <c r="G507" s="534"/>
      <c r="H507" s="534"/>
      <c r="I507" s="534"/>
      <c r="J507" s="534"/>
      <c r="K507" s="534"/>
      <c r="L507" s="534"/>
      <c r="M507" s="534"/>
    </row>
    <row r="508" spans="1:13" x14ac:dyDescent="0.2">
      <c r="A508" s="115" t="s">
        <v>1</v>
      </c>
      <c r="B508" s="116" t="s">
        <v>2</v>
      </c>
      <c r="C508" s="117" t="s">
        <v>3</v>
      </c>
      <c r="D508" s="117" t="s">
        <v>4</v>
      </c>
      <c r="E508" s="117" t="s">
        <v>96</v>
      </c>
      <c r="F508" s="117" t="s">
        <v>5</v>
      </c>
      <c r="G508" s="118" t="s">
        <v>97</v>
      </c>
      <c r="H508" s="118" t="s">
        <v>6</v>
      </c>
      <c r="I508" s="117" t="s">
        <v>7</v>
      </c>
      <c r="J508" s="117" t="s">
        <v>8</v>
      </c>
      <c r="K508" s="117" t="s">
        <v>9</v>
      </c>
      <c r="L508" s="119" t="s">
        <v>10</v>
      </c>
      <c r="M508" s="117" t="s">
        <v>11</v>
      </c>
    </row>
    <row r="509" spans="1:13" x14ac:dyDescent="0.2">
      <c r="A509" s="120"/>
      <c r="B509" s="121"/>
      <c r="C509" s="122"/>
      <c r="D509" s="122"/>
      <c r="E509" s="122"/>
      <c r="F509" s="122"/>
      <c r="G509" s="101"/>
      <c r="H509" s="123"/>
      <c r="I509" s="124"/>
      <c r="J509" s="125"/>
      <c r="K509" s="125"/>
      <c r="L509" s="125"/>
      <c r="M509" s="124">
        <f>M502</f>
        <v>12819.270000000015</v>
      </c>
    </row>
    <row r="510" spans="1:13" ht="14.25" x14ac:dyDescent="0.2">
      <c r="A510" s="201">
        <v>43346</v>
      </c>
      <c r="B510" s="184" t="s">
        <v>383</v>
      </c>
      <c r="C510" s="126"/>
      <c r="D510" s="122"/>
      <c r="E510" s="122"/>
      <c r="F510" s="122"/>
      <c r="G510" s="126" t="s">
        <v>384</v>
      </c>
      <c r="H510" s="122"/>
      <c r="I510" s="190">
        <v>190</v>
      </c>
      <c r="J510" s="182">
        <f>+I510*0.32</f>
        <v>60.800000000000004</v>
      </c>
      <c r="K510" s="182">
        <f>+I510*0.68</f>
        <v>129.20000000000002</v>
      </c>
      <c r="L510" s="128"/>
      <c r="M510" s="129">
        <f>+K510-L510+M509</f>
        <v>12948.470000000016</v>
      </c>
    </row>
    <row r="511" spans="1:13" ht="14.25" x14ac:dyDescent="0.2">
      <c r="A511" s="201">
        <v>43347</v>
      </c>
      <c r="B511" s="184" t="s">
        <v>383</v>
      </c>
      <c r="C511" s="126"/>
      <c r="D511" s="122"/>
      <c r="E511" s="122"/>
      <c r="F511" s="122"/>
      <c r="G511" s="126" t="s">
        <v>384</v>
      </c>
      <c r="H511" s="122"/>
      <c r="I511" s="190">
        <v>308</v>
      </c>
      <c r="J511" s="182">
        <f>+I511*0.32</f>
        <v>98.56</v>
      </c>
      <c r="K511" s="182">
        <f>+I511*0.68</f>
        <v>209.44000000000003</v>
      </c>
      <c r="L511" s="128"/>
      <c r="M511" s="129">
        <f>+K511-L511+M510</f>
        <v>13157.910000000016</v>
      </c>
    </row>
    <row r="512" spans="1:13" ht="14.25" x14ac:dyDescent="0.2">
      <c r="A512" s="201">
        <v>43348</v>
      </c>
      <c r="B512" s="184" t="s">
        <v>383</v>
      </c>
      <c r="C512" s="126"/>
      <c r="D512" s="122"/>
      <c r="E512" s="183"/>
      <c r="F512" s="183"/>
      <c r="G512" s="126" t="s">
        <v>384</v>
      </c>
      <c r="H512" s="122"/>
      <c r="I512" s="190">
        <v>1084</v>
      </c>
      <c r="J512" s="182">
        <f t="shared" ref="J512:J548" si="26">+I512*0.32</f>
        <v>346.88</v>
      </c>
      <c r="K512" s="182">
        <f t="shared" ref="K512:K548" si="27">+I512*0.68</f>
        <v>737.12</v>
      </c>
      <c r="L512" s="128"/>
      <c r="M512" s="129">
        <f t="shared" ref="M512:M562" si="28">+K512-L512+M511</f>
        <v>13895.030000000017</v>
      </c>
    </row>
    <row r="513" spans="1:13" ht="14.25" x14ac:dyDescent="0.2">
      <c r="A513" s="201">
        <v>43349</v>
      </c>
      <c r="B513" s="184" t="s">
        <v>383</v>
      </c>
      <c r="C513" s="126"/>
      <c r="D513" s="122"/>
      <c r="E513" s="122"/>
      <c r="F513" s="122"/>
      <c r="G513" s="126" t="s">
        <v>384</v>
      </c>
      <c r="H513" s="122"/>
      <c r="I513" s="190">
        <v>1370</v>
      </c>
      <c r="J513" s="182">
        <f t="shared" si="26"/>
        <v>438.40000000000003</v>
      </c>
      <c r="K513" s="182">
        <f t="shared" si="27"/>
        <v>931.6</v>
      </c>
      <c r="L513" s="128"/>
      <c r="M513" s="129">
        <f t="shared" si="28"/>
        <v>14826.630000000017</v>
      </c>
    </row>
    <row r="514" spans="1:13" ht="14.25" x14ac:dyDescent="0.2">
      <c r="A514" s="201">
        <v>43350</v>
      </c>
      <c r="B514" s="184" t="s">
        <v>383</v>
      </c>
      <c r="C514" s="126"/>
      <c r="D514" s="122"/>
      <c r="E514" s="122"/>
      <c r="F514" s="122"/>
      <c r="G514" s="126" t="s">
        <v>384</v>
      </c>
      <c r="H514" s="122"/>
      <c r="I514" s="190">
        <v>60</v>
      </c>
      <c r="J514" s="182">
        <f t="shared" si="26"/>
        <v>19.2</v>
      </c>
      <c r="K514" s="182">
        <f t="shared" si="27"/>
        <v>40.800000000000004</v>
      </c>
      <c r="L514" s="128"/>
      <c r="M514" s="129">
        <f t="shared" si="28"/>
        <v>14867.430000000017</v>
      </c>
    </row>
    <row r="515" spans="1:13" ht="14.25" x14ac:dyDescent="0.2">
      <c r="A515" s="201">
        <v>43351</v>
      </c>
      <c r="B515" s="184" t="s">
        <v>383</v>
      </c>
      <c r="C515" s="126"/>
      <c r="D515" s="122"/>
      <c r="E515" s="122"/>
      <c r="F515" s="122"/>
      <c r="G515" s="126" t="s">
        <v>384</v>
      </c>
      <c r="H515" s="122"/>
      <c r="I515" s="203">
        <v>288</v>
      </c>
      <c r="J515" s="182">
        <f t="shared" si="26"/>
        <v>92.16</v>
      </c>
      <c r="K515" s="182">
        <f t="shared" si="27"/>
        <v>195.84</v>
      </c>
      <c r="L515" s="128"/>
      <c r="M515" s="129">
        <f t="shared" si="28"/>
        <v>15063.270000000017</v>
      </c>
    </row>
    <row r="516" spans="1:13" ht="14.25" x14ac:dyDescent="0.2">
      <c r="A516" s="201">
        <v>43353</v>
      </c>
      <c r="B516" s="184" t="s">
        <v>383</v>
      </c>
      <c r="C516" s="126"/>
      <c r="D516" s="122"/>
      <c r="E516" s="122"/>
      <c r="F516" s="122"/>
      <c r="G516" s="126" t="s">
        <v>384</v>
      </c>
      <c r="H516" s="122"/>
      <c r="I516" s="203">
        <v>0</v>
      </c>
      <c r="J516" s="182">
        <f t="shared" si="26"/>
        <v>0</v>
      </c>
      <c r="K516" s="182">
        <f t="shared" si="27"/>
        <v>0</v>
      </c>
      <c r="L516" s="128"/>
      <c r="M516" s="129">
        <f t="shared" si="28"/>
        <v>15063.270000000017</v>
      </c>
    </row>
    <row r="517" spans="1:13" ht="14.25" x14ac:dyDescent="0.2">
      <c r="A517" s="201">
        <v>43354</v>
      </c>
      <c r="B517" s="184" t="s">
        <v>383</v>
      </c>
      <c r="C517" s="126"/>
      <c r="D517" s="122"/>
      <c r="E517" s="122"/>
      <c r="F517" s="122"/>
      <c r="G517" s="126" t="s">
        <v>384</v>
      </c>
      <c r="H517" s="122"/>
      <c r="I517" s="203">
        <v>370</v>
      </c>
      <c r="J517" s="182">
        <f t="shared" si="26"/>
        <v>118.4</v>
      </c>
      <c r="K517" s="182">
        <f t="shared" si="27"/>
        <v>251.60000000000002</v>
      </c>
      <c r="L517" s="128"/>
      <c r="M517" s="129">
        <f t="shared" si="28"/>
        <v>15314.870000000017</v>
      </c>
    </row>
    <row r="518" spans="1:13" ht="14.25" x14ac:dyDescent="0.2">
      <c r="A518" s="201">
        <v>43355</v>
      </c>
      <c r="B518" s="184" t="s">
        <v>383</v>
      </c>
      <c r="C518" s="126"/>
      <c r="D518" s="122"/>
      <c r="E518" s="122"/>
      <c r="F518" s="122"/>
      <c r="G518" s="126" t="s">
        <v>384</v>
      </c>
      <c r="H518" s="122"/>
      <c r="I518" s="203">
        <v>452</v>
      </c>
      <c r="J518" s="182">
        <f t="shared" si="26"/>
        <v>144.64000000000001</v>
      </c>
      <c r="K518" s="182">
        <f t="shared" si="27"/>
        <v>307.36</v>
      </c>
      <c r="L518" s="128"/>
      <c r="M518" s="129">
        <f t="shared" si="28"/>
        <v>15622.230000000018</v>
      </c>
    </row>
    <row r="519" spans="1:13" ht="14.25" x14ac:dyDescent="0.2">
      <c r="A519" s="201">
        <v>43356</v>
      </c>
      <c r="B519" s="184" t="s">
        <v>383</v>
      </c>
      <c r="C519" s="126"/>
      <c r="D519" s="122"/>
      <c r="E519" s="122"/>
      <c r="F519" s="122"/>
      <c r="G519" s="126" t="s">
        <v>384</v>
      </c>
      <c r="H519" s="122"/>
      <c r="I519" s="203">
        <v>328</v>
      </c>
      <c r="J519" s="182">
        <f t="shared" si="26"/>
        <v>104.96000000000001</v>
      </c>
      <c r="K519" s="182">
        <f t="shared" si="27"/>
        <v>223.04000000000002</v>
      </c>
      <c r="L519" s="128"/>
      <c r="M519" s="129">
        <f t="shared" si="28"/>
        <v>15845.270000000019</v>
      </c>
    </row>
    <row r="520" spans="1:13" ht="14.25" x14ac:dyDescent="0.2">
      <c r="A520" s="201">
        <v>43357</v>
      </c>
      <c r="B520" s="184" t="s">
        <v>383</v>
      </c>
      <c r="C520" s="126"/>
      <c r="D520" s="135"/>
      <c r="E520" s="122"/>
      <c r="F520" s="122"/>
      <c r="G520" s="126" t="s">
        <v>384</v>
      </c>
      <c r="H520" s="135"/>
      <c r="I520" s="203">
        <v>308</v>
      </c>
      <c r="J520" s="182">
        <f t="shared" si="26"/>
        <v>98.56</v>
      </c>
      <c r="K520" s="182">
        <f t="shared" si="27"/>
        <v>209.44000000000003</v>
      </c>
      <c r="L520" s="128"/>
      <c r="M520" s="129">
        <f t="shared" si="28"/>
        <v>16054.710000000019</v>
      </c>
    </row>
    <row r="521" spans="1:13" ht="14.25" x14ac:dyDescent="0.2">
      <c r="A521" s="201">
        <v>43361</v>
      </c>
      <c r="B521" s="184" t="s">
        <v>385</v>
      </c>
      <c r="C521" s="126"/>
      <c r="D521" s="135"/>
      <c r="E521" s="122"/>
      <c r="F521" s="122"/>
      <c r="G521" s="126" t="s">
        <v>386</v>
      </c>
      <c r="H521" s="135"/>
      <c r="I521" s="203">
        <v>308</v>
      </c>
      <c r="J521" s="182">
        <f t="shared" si="26"/>
        <v>98.56</v>
      </c>
      <c r="K521" s="182">
        <f t="shared" si="27"/>
        <v>209.44000000000003</v>
      </c>
      <c r="L521" s="128"/>
      <c r="M521" s="129">
        <f t="shared" si="28"/>
        <v>16264.15000000002</v>
      </c>
    </row>
    <row r="522" spans="1:13" ht="14.25" x14ac:dyDescent="0.2">
      <c r="A522" s="201">
        <v>43362</v>
      </c>
      <c r="B522" s="184" t="s">
        <v>385</v>
      </c>
      <c r="C522" s="126"/>
      <c r="D522" s="135"/>
      <c r="E522" s="122"/>
      <c r="F522" s="122"/>
      <c r="G522" s="126" t="s">
        <v>386</v>
      </c>
      <c r="H522" s="135"/>
      <c r="I522" s="203">
        <v>0</v>
      </c>
      <c r="J522" s="182">
        <f t="shared" si="26"/>
        <v>0</v>
      </c>
      <c r="K522" s="182">
        <f t="shared" si="27"/>
        <v>0</v>
      </c>
      <c r="L522" s="128"/>
      <c r="M522" s="129">
        <f t="shared" si="28"/>
        <v>16264.15000000002</v>
      </c>
    </row>
    <row r="523" spans="1:13" ht="14.25" x14ac:dyDescent="0.2">
      <c r="A523" s="201">
        <v>43363</v>
      </c>
      <c r="B523" s="184" t="s">
        <v>385</v>
      </c>
      <c r="C523" s="126"/>
      <c r="D523" s="135"/>
      <c r="E523" s="122"/>
      <c r="F523" s="122"/>
      <c r="G523" s="126" t="s">
        <v>386</v>
      </c>
      <c r="H523" s="135"/>
      <c r="I523" s="203">
        <v>308</v>
      </c>
      <c r="J523" s="182">
        <f t="shared" si="26"/>
        <v>98.56</v>
      </c>
      <c r="K523" s="182">
        <f t="shared" si="27"/>
        <v>209.44000000000003</v>
      </c>
      <c r="L523" s="128"/>
      <c r="M523" s="129">
        <f t="shared" si="28"/>
        <v>16473.590000000018</v>
      </c>
    </row>
    <row r="524" spans="1:13" ht="14.25" x14ac:dyDescent="0.2">
      <c r="A524" s="201">
        <v>43367</v>
      </c>
      <c r="B524" s="184" t="s">
        <v>385</v>
      </c>
      <c r="C524" s="126"/>
      <c r="D524" s="135"/>
      <c r="E524" s="122"/>
      <c r="F524" s="122"/>
      <c r="G524" s="126" t="s">
        <v>386</v>
      </c>
      <c r="H524" s="135"/>
      <c r="I524" s="203">
        <v>144</v>
      </c>
      <c r="J524" s="182">
        <f t="shared" si="26"/>
        <v>46.08</v>
      </c>
      <c r="K524" s="182">
        <f t="shared" si="27"/>
        <v>97.92</v>
      </c>
      <c r="L524" s="128"/>
      <c r="M524" s="129">
        <f t="shared" si="28"/>
        <v>16571.510000000017</v>
      </c>
    </row>
    <row r="525" spans="1:13" ht="14.25" x14ac:dyDescent="0.2">
      <c r="A525" s="201">
        <v>43368</v>
      </c>
      <c r="B525" s="184" t="s">
        <v>385</v>
      </c>
      <c r="C525" s="126"/>
      <c r="D525" s="135"/>
      <c r="E525" s="122"/>
      <c r="F525" s="122"/>
      <c r="G525" s="126" t="s">
        <v>386</v>
      </c>
      <c r="H525" s="135"/>
      <c r="I525" s="203">
        <v>164</v>
      </c>
      <c r="J525" s="182">
        <f t="shared" si="26"/>
        <v>52.480000000000004</v>
      </c>
      <c r="K525" s="182">
        <f t="shared" si="27"/>
        <v>111.52000000000001</v>
      </c>
      <c r="L525" s="128"/>
      <c r="M525" s="129">
        <f t="shared" si="28"/>
        <v>16683.030000000017</v>
      </c>
    </row>
    <row r="526" spans="1:13" ht="14.25" x14ac:dyDescent="0.2">
      <c r="A526" s="201">
        <v>43370</v>
      </c>
      <c r="B526" s="184" t="s">
        <v>385</v>
      </c>
      <c r="C526" s="126"/>
      <c r="D526" s="135"/>
      <c r="E526" s="122"/>
      <c r="F526" s="122"/>
      <c r="G526" s="126" t="s">
        <v>386</v>
      </c>
      <c r="H526" s="135"/>
      <c r="I526" s="203">
        <v>308</v>
      </c>
      <c r="J526" s="182">
        <f t="shared" si="26"/>
        <v>98.56</v>
      </c>
      <c r="K526" s="182">
        <f t="shared" si="27"/>
        <v>209.44000000000003</v>
      </c>
      <c r="L526" s="128"/>
      <c r="M526" s="129">
        <f t="shared" si="28"/>
        <v>16892.470000000016</v>
      </c>
    </row>
    <row r="527" spans="1:13" ht="14.25" x14ac:dyDescent="0.2">
      <c r="A527" s="201">
        <v>43372</v>
      </c>
      <c r="B527" s="184" t="s">
        <v>385</v>
      </c>
      <c r="C527" s="126"/>
      <c r="D527" s="135"/>
      <c r="E527" s="122"/>
      <c r="F527" s="122"/>
      <c r="G527" s="126" t="s">
        <v>386</v>
      </c>
      <c r="H527" s="135"/>
      <c r="I527" s="203">
        <v>220</v>
      </c>
      <c r="J527" s="182">
        <f t="shared" si="26"/>
        <v>70.400000000000006</v>
      </c>
      <c r="K527" s="182">
        <f t="shared" si="27"/>
        <v>149.60000000000002</v>
      </c>
      <c r="L527" s="128"/>
      <c r="M527" s="129">
        <f t="shared" si="28"/>
        <v>17042.070000000014</v>
      </c>
    </row>
    <row r="528" spans="1:13" ht="14.25" x14ac:dyDescent="0.2">
      <c r="A528" s="201">
        <v>43711</v>
      </c>
      <c r="B528" s="184"/>
      <c r="C528" s="126"/>
      <c r="D528" s="135"/>
      <c r="E528" s="211"/>
      <c r="F528" s="122"/>
      <c r="G528" s="126"/>
      <c r="H528" s="135"/>
      <c r="I528" s="203">
        <v>1170</v>
      </c>
      <c r="J528" s="182">
        <f t="shared" si="26"/>
        <v>374.40000000000003</v>
      </c>
      <c r="K528" s="182">
        <f t="shared" si="27"/>
        <v>795.6</v>
      </c>
      <c r="L528" s="128"/>
      <c r="M528" s="129">
        <f t="shared" si="28"/>
        <v>17837.670000000013</v>
      </c>
    </row>
    <row r="529" spans="1:13" ht="14.25" x14ac:dyDescent="0.2">
      <c r="A529" s="201">
        <v>43712</v>
      </c>
      <c r="B529" s="184"/>
      <c r="C529" s="126"/>
      <c r="D529" s="135"/>
      <c r="E529" s="211"/>
      <c r="F529" s="122"/>
      <c r="G529" s="126"/>
      <c r="H529" s="135"/>
      <c r="I529" s="203">
        <v>164</v>
      </c>
      <c r="J529" s="182">
        <f t="shared" si="26"/>
        <v>52.480000000000004</v>
      </c>
      <c r="K529" s="182">
        <f t="shared" si="27"/>
        <v>111.52000000000001</v>
      </c>
      <c r="L529" s="128"/>
      <c r="M529" s="129">
        <f t="shared" si="28"/>
        <v>17949.190000000013</v>
      </c>
    </row>
    <row r="530" spans="1:13" ht="14.25" x14ac:dyDescent="0.2">
      <c r="A530" s="201">
        <v>43713</v>
      </c>
      <c r="B530" s="184"/>
      <c r="C530" s="126"/>
      <c r="D530" s="135"/>
      <c r="E530" s="211"/>
      <c r="F530" s="122"/>
      <c r="G530" s="126"/>
      <c r="H530" s="135"/>
      <c r="I530" s="203">
        <v>942</v>
      </c>
      <c r="J530" s="182">
        <f t="shared" si="26"/>
        <v>301.44</v>
      </c>
      <c r="K530" s="182">
        <f t="shared" si="27"/>
        <v>640.56000000000006</v>
      </c>
      <c r="L530" s="128"/>
      <c r="M530" s="129">
        <f t="shared" si="28"/>
        <v>18589.750000000015</v>
      </c>
    </row>
    <row r="531" spans="1:13" ht="14.25" x14ac:dyDescent="0.2">
      <c r="A531" s="201">
        <v>43714</v>
      </c>
      <c r="B531" s="184"/>
      <c r="C531" s="126"/>
      <c r="D531" s="135"/>
      <c r="E531" s="211"/>
      <c r="F531" s="122"/>
      <c r="G531" s="126"/>
      <c r="H531" s="135"/>
      <c r="I531" s="203">
        <v>1280</v>
      </c>
      <c r="J531" s="182">
        <f t="shared" si="26"/>
        <v>409.6</v>
      </c>
      <c r="K531" s="182">
        <f t="shared" si="27"/>
        <v>870.40000000000009</v>
      </c>
      <c r="L531" s="128"/>
      <c r="M531" s="129">
        <f t="shared" si="28"/>
        <v>19460.150000000016</v>
      </c>
    </row>
    <row r="532" spans="1:13" ht="14.25" x14ac:dyDescent="0.2">
      <c r="A532" s="201">
        <v>43715</v>
      </c>
      <c r="B532" s="184"/>
      <c r="C532" s="126"/>
      <c r="D532" s="135"/>
      <c r="E532" s="211"/>
      <c r="F532" s="122"/>
      <c r="G532" s="126"/>
      <c r="H532" s="135"/>
      <c r="I532" s="203">
        <v>1724</v>
      </c>
      <c r="J532" s="182">
        <f t="shared" si="26"/>
        <v>551.68000000000006</v>
      </c>
      <c r="K532" s="182">
        <f t="shared" si="27"/>
        <v>1172.3200000000002</v>
      </c>
      <c r="L532" s="128"/>
      <c r="M532" s="129">
        <f t="shared" si="28"/>
        <v>20632.470000000016</v>
      </c>
    </row>
    <row r="533" spans="1:13" ht="14.25" x14ac:dyDescent="0.2">
      <c r="A533" s="201">
        <v>43716</v>
      </c>
      <c r="B533" s="184"/>
      <c r="C533" s="126"/>
      <c r="D533" s="135"/>
      <c r="E533" s="211"/>
      <c r="F533" s="122"/>
      <c r="G533" s="126"/>
      <c r="H533" s="135"/>
      <c r="I533" s="203">
        <v>164</v>
      </c>
      <c r="J533" s="182">
        <f t="shared" si="26"/>
        <v>52.480000000000004</v>
      </c>
      <c r="K533" s="182">
        <f t="shared" si="27"/>
        <v>111.52000000000001</v>
      </c>
      <c r="L533" s="128"/>
      <c r="M533" s="129">
        <f t="shared" si="28"/>
        <v>20743.990000000016</v>
      </c>
    </row>
    <row r="534" spans="1:13" ht="14.25" x14ac:dyDescent="0.2">
      <c r="A534" s="201">
        <v>43718</v>
      </c>
      <c r="B534" s="184"/>
      <c r="C534" s="126"/>
      <c r="D534" s="135"/>
      <c r="E534" s="211"/>
      <c r="F534" s="122"/>
      <c r="G534" s="126"/>
      <c r="H534" s="135"/>
      <c r="I534" s="203">
        <v>188</v>
      </c>
      <c r="J534" s="182">
        <f t="shared" si="26"/>
        <v>60.160000000000004</v>
      </c>
      <c r="K534" s="182">
        <f t="shared" si="27"/>
        <v>127.84</v>
      </c>
      <c r="L534" s="128"/>
      <c r="M534" s="129">
        <f t="shared" si="28"/>
        <v>20871.830000000016</v>
      </c>
    </row>
    <row r="535" spans="1:13" ht="14.25" x14ac:dyDescent="0.2">
      <c r="A535" s="201">
        <v>43719</v>
      </c>
      <c r="B535" s="184"/>
      <c r="C535" s="126"/>
      <c r="D535" s="135"/>
      <c r="E535" s="211"/>
      <c r="F535" s="122"/>
      <c r="G535" s="126"/>
      <c r="H535" s="135"/>
      <c r="I535" s="203">
        <v>328</v>
      </c>
      <c r="J535" s="182">
        <f t="shared" si="26"/>
        <v>104.96000000000001</v>
      </c>
      <c r="K535" s="182">
        <f t="shared" si="27"/>
        <v>223.04000000000002</v>
      </c>
      <c r="L535" s="128"/>
      <c r="M535" s="129">
        <f t="shared" si="28"/>
        <v>21094.870000000017</v>
      </c>
    </row>
    <row r="536" spans="1:13" ht="14.25" x14ac:dyDescent="0.2">
      <c r="A536" s="201">
        <v>43720</v>
      </c>
      <c r="B536" s="184"/>
      <c r="C536" s="126"/>
      <c r="D536" s="135"/>
      <c r="E536" s="211"/>
      <c r="F536" s="122"/>
      <c r="G536" s="126"/>
      <c r="H536" s="135"/>
      <c r="I536" s="203">
        <v>1436</v>
      </c>
      <c r="J536" s="182">
        <f t="shared" si="26"/>
        <v>459.52</v>
      </c>
      <c r="K536" s="182">
        <f t="shared" si="27"/>
        <v>976.48</v>
      </c>
      <c r="L536" s="128"/>
      <c r="M536" s="129">
        <f t="shared" si="28"/>
        <v>22071.350000000017</v>
      </c>
    </row>
    <row r="537" spans="1:13" ht="14.25" x14ac:dyDescent="0.2">
      <c r="A537" s="201">
        <v>43721</v>
      </c>
      <c r="B537" s="184"/>
      <c r="C537" s="126"/>
      <c r="D537" s="135"/>
      <c r="E537" s="211"/>
      <c r="F537" s="122"/>
      <c r="G537" s="126"/>
      <c r="H537" s="135"/>
      <c r="I537" s="203">
        <v>810</v>
      </c>
      <c r="J537" s="182">
        <f t="shared" si="26"/>
        <v>259.2</v>
      </c>
      <c r="K537" s="182">
        <f t="shared" si="27"/>
        <v>550.80000000000007</v>
      </c>
      <c r="L537" s="128"/>
      <c r="M537" s="129">
        <f t="shared" si="28"/>
        <v>22622.150000000016</v>
      </c>
    </row>
    <row r="538" spans="1:13" ht="14.25" x14ac:dyDescent="0.2">
      <c r="A538" s="201">
        <v>43722</v>
      </c>
      <c r="B538" s="184"/>
      <c r="C538" s="126"/>
      <c r="D538" s="135"/>
      <c r="E538" s="211"/>
      <c r="F538" s="122"/>
      <c r="G538" s="126"/>
      <c r="H538" s="135"/>
      <c r="I538" s="203">
        <v>0</v>
      </c>
      <c r="J538" s="182">
        <f t="shared" si="26"/>
        <v>0</v>
      </c>
      <c r="K538" s="182">
        <f t="shared" si="27"/>
        <v>0</v>
      </c>
      <c r="L538" s="128"/>
      <c r="M538" s="129">
        <f t="shared" si="28"/>
        <v>22622.150000000016</v>
      </c>
    </row>
    <row r="539" spans="1:13" ht="14.25" x14ac:dyDescent="0.2">
      <c r="A539" s="201">
        <v>43726</v>
      </c>
      <c r="B539" s="184"/>
      <c r="C539" s="126"/>
      <c r="D539" s="135"/>
      <c r="E539" s="211"/>
      <c r="F539" s="122"/>
      <c r="G539" s="126"/>
      <c r="H539" s="135"/>
      <c r="I539" s="203">
        <v>108</v>
      </c>
      <c r="J539" s="182">
        <f t="shared" si="26"/>
        <v>34.56</v>
      </c>
      <c r="K539" s="182">
        <f t="shared" si="27"/>
        <v>73.440000000000012</v>
      </c>
      <c r="L539" s="128"/>
      <c r="M539" s="129">
        <f t="shared" si="28"/>
        <v>22695.590000000015</v>
      </c>
    </row>
    <row r="540" spans="1:13" ht="14.25" x14ac:dyDescent="0.2">
      <c r="A540" s="201">
        <v>43727</v>
      </c>
      <c r="B540" s="184"/>
      <c r="C540" s="126"/>
      <c r="D540" s="135"/>
      <c r="E540" s="211"/>
      <c r="F540" s="122"/>
      <c r="G540" s="126"/>
      <c r="H540" s="135"/>
      <c r="I540" s="203">
        <v>598</v>
      </c>
      <c r="J540" s="182">
        <f t="shared" si="26"/>
        <v>191.36</v>
      </c>
      <c r="K540" s="182">
        <f t="shared" si="27"/>
        <v>406.64000000000004</v>
      </c>
      <c r="L540" s="128"/>
      <c r="M540" s="129"/>
    </row>
    <row r="541" spans="1:13" ht="14.25" x14ac:dyDescent="0.2">
      <c r="A541" s="201">
        <v>43728</v>
      </c>
      <c r="B541" s="184"/>
      <c r="C541" s="126"/>
      <c r="D541" s="135"/>
      <c r="E541" s="211"/>
      <c r="F541" s="122"/>
      <c r="G541" s="126"/>
      <c r="H541" s="135"/>
      <c r="I541" s="203">
        <v>1066</v>
      </c>
      <c r="J541" s="182">
        <f t="shared" si="26"/>
        <v>341.12</v>
      </c>
      <c r="K541" s="182">
        <f t="shared" si="27"/>
        <v>724.88</v>
      </c>
      <c r="L541" s="128"/>
      <c r="M541" s="129">
        <f>+K541-L541+M539</f>
        <v>23420.470000000016</v>
      </c>
    </row>
    <row r="542" spans="1:13" ht="14.25" x14ac:dyDescent="0.2">
      <c r="A542" s="201">
        <v>43729</v>
      </c>
      <c r="B542" s="184"/>
      <c r="C542" s="126"/>
      <c r="D542" s="135"/>
      <c r="E542" s="211"/>
      <c r="F542" s="122"/>
      <c r="G542" s="126"/>
      <c r="H542" s="135"/>
      <c r="I542" s="203">
        <v>164</v>
      </c>
      <c r="J542" s="182">
        <f t="shared" si="26"/>
        <v>52.480000000000004</v>
      </c>
      <c r="K542" s="182">
        <f t="shared" si="27"/>
        <v>111.52000000000001</v>
      </c>
      <c r="L542" s="128"/>
      <c r="M542" s="129">
        <f t="shared" si="28"/>
        <v>23531.990000000016</v>
      </c>
    </row>
    <row r="543" spans="1:13" ht="14.25" x14ac:dyDescent="0.2">
      <c r="A543" s="201">
        <v>43730</v>
      </c>
      <c r="B543" s="184"/>
      <c r="C543" s="126"/>
      <c r="D543" s="135"/>
      <c r="E543" s="211"/>
      <c r="F543" s="122"/>
      <c r="G543" s="126"/>
      <c r="H543" s="135"/>
      <c r="I543" s="203">
        <v>100</v>
      </c>
      <c r="J543" s="182">
        <f t="shared" si="26"/>
        <v>32</v>
      </c>
      <c r="K543" s="182">
        <f t="shared" si="27"/>
        <v>68</v>
      </c>
      <c r="L543" s="128"/>
      <c r="M543" s="129">
        <f t="shared" si="28"/>
        <v>23599.990000000016</v>
      </c>
    </row>
    <row r="544" spans="1:13" ht="14.25" x14ac:dyDescent="0.2">
      <c r="A544" s="201">
        <v>43732</v>
      </c>
      <c r="B544" s="184"/>
      <c r="C544" s="126"/>
      <c r="D544" s="135"/>
      <c r="E544" s="211"/>
      <c r="F544" s="122"/>
      <c r="G544" s="126"/>
      <c r="H544" s="135"/>
      <c r="I544" s="203">
        <v>1188</v>
      </c>
      <c r="J544" s="182">
        <f t="shared" si="26"/>
        <v>380.16</v>
      </c>
      <c r="K544" s="182">
        <f t="shared" si="27"/>
        <v>807.84</v>
      </c>
      <c r="L544" s="128"/>
      <c r="M544" s="129">
        <f t="shared" si="28"/>
        <v>24407.830000000016</v>
      </c>
    </row>
    <row r="545" spans="1:13" ht="14.25" x14ac:dyDescent="0.2">
      <c r="A545" s="201">
        <v>43733</v>
      </c>
      <c r="B545" s="184"/>
      <c r="C545" s="126"/>
      <c r="D545" s="135"/>
      <c r="E545" s="211"/>
      <c r="F545" s="122"/>
      <c r="G545" s="126"/>
      <c r="H545" s="135"/>
      <c r="I545" s="203">
        <v>20</v>
      </c>
      <c r="J545" s="182">
        <f t="shared" si="26"/>
        <v>6.4</v>
      </c>
      <c r="K545" s="182">
        <f t="shared" si="27"/>
        <v>13.600000000000001</v>
      </c>
      <c r="L545" s="128"/>
      <c r="M545" s="129">
        <f t="shared" si="28"/>
        <v>24421.430000000015</v>
      </c>
    </row>
    <row r="546" spans="1:13" ht="14.25" x14ac:dyDescent="0.2">
      <c r="A546" s="201">
        <v>43734</v>
      </c>
      <c r="B546" s="184"/>
      <c r="C546" s="126"/>
      <c r="D546" s="135"/>
      <c r="E546" s="211"/>
      <c r="F546" s="122"/>
      <c r="G546" s="126"/>
      <c r="H546" s="135"/>
      <c r="I546" s="203">
        <v>328</v>
      </c>
      <c r="J546" s="182">
        <f t="shared" si="26"/>
        <v>104.96000000000001</v>
      </c>
      <c r="K546" s="182">
        <f t="shared" si="27"/>
        <v>223.04000000000002</v>
      </c>
      <c r="L546" s="128"/>
      <c r="M546" s="129">
        <f t="shared" si="28"/>
        <v>24644.470000000016</v>
      </c>
    </row>
    <row r="547" spans="1:13" ht="14.25" x14ac:dyDescent="0.2">
      <c r="A547" s="201">
        <v>43735</v>
      </c>
      <c r="B547" s="184"/>
      <c r="C547" s="126"/>
      <c r="D547" s="135"/>
      <c r="E547" s="211"/>
      <c r="F547" s="122"/>
      <c r="G547" s="126"/>
      <c r="H547" s="135"/>
      <c r="I547" s="203">
        <v>576</v>
      </c>
      <c r="J547" s="182">
        <f t="shared" si="26"/>
        <v>184.32</v>
      </c>
      <c r="K547" s="182">
        <f t="shared" si="27"/>
        <v>391.68</v>
      </c>
      <c r="L547" s="128"/>
      <c r="M547" s="129">
        <f t="shared" si="28"/>
        <v>25036.150000000016</v>
      </c>
    </row>
    <row r="548" spans="1:13" ht="14.25" x14ac:dyDescent="0.2">
      <c r="A548" s="201">
        <v>43736</v>
      </c>
      <c r="B548" s="184"/>
      <c r="C548" s="126"/>
      <c r="D548" s="135"/>
      <c r="E548" s="211"/>
      <c r="F548" s="122"/>
      <c r="G548" s="126"/>
      <c r="H548" s="135"/>
      <c r="I548" s="203">
        <v>144</v>
      </c>
      <c r="J548" s="182">
        <f t="shared" si="26"/>
        <v>46.08</v>
      </c>
      <c r="K548" s="182">
        <f t="shared" si="27"/>
        <v>97.92</v>
      </c>
      <c r="L548" s="128"/>
      <c r="M548" s="129">
        <f t="shared" si="28"/>
        <v>25134.070000000014</v>
      </c>
    </row>
    <row r="549" spans="1:13" ht="14.25" x14ac:dyDescent="0.2">
      <c r="A549" s="201"/>
      <c r="B549" s="184"/>
      <c r="C549" s="126"/>
      <c r="D549" s="135"/>
      <c r="E549" s="211"/>
      <c r="F549" s="122"/>
      <c r="G549" s="126"/>
      <c r="H549" s="135"/>
      <c r="I549" s="203"/>
      <c r="J549" s="182"/>
      <c r="K549" s="182"/>
      <c r="L549" s="128"/>
      <c r="M549" s="129">
        <f t="shared" si="28"/>
        <v>25134.070000000014</v>
      </c>
    </row>
    <row r="550" spans="1:13" ht="14.25" x14ac:dyDescent="0.2">
      <c r="A550" s="201"/>
      <c r="B550" s="184"/>
      <c r="C550" s="126"/>
      <c r="D550" s="135"/>
      <c r="E550" s="211"/>
      <c r="F550" s="122"/>
      <c r="G550" s="126"/>
      <c r="H550" s="135"/>
      <c r="I550" s="203"/>
      <c r="J550" s="182"/>
      <c r="K550" s="182"/>
      <c r="L550" s="128"/>
      <c r="M550" s="129">
        <f t="shared" si="28"/>
        <v>25134.070000000014</v>
      </c>
    </row>
    <row r="551" spans="1:13" x14ac:dyDescent="0.2">
      <c r="A551" s="131"/>
      <c r="B551" s="212"/>
      <c r="C551" s="122"/>
      <c r="D551" s="122"/>
      <c r="F551" s="122"/>
      <c r="G551" s="133"/>
      <c r="H551" s="123"/>
      <c r="I551" s="127"/>
      <c r="J551" s="128"/>
      <c r="K551" s="128"/>
      <c r="L551" s="128"/>
      <c r="M551" s="129">
        <f t="shared" si="28"/>
        <v>25134.070000000014</v>
      </c>
    </row>
    <row r="552" spans="1:13" ht="15" x14ac:dyDescent="0.25">
      <c r="A552" s="533" t="s">
        <v>387</v>
      </c>
      <c r="B552" s="534"/>
      <c r="C552" s="534"/>
      <c r="D552" s="534"/>
      <c r="E552" s="534"/>
      <c r="F552" s="534"/>
      <c r="G552" s="534"/>
      <c r="H552" s="534"/>
      <c r="I552" s="534"/>
      <c r="J552" s="534"/>
      <c r="K552" s="534"/>
      <c r="L552" s="534"/>
      <c r="M552" s="129">
        <f t="shared" si="28"/>
        <v>25134.070000000014</v>
      </c>
    </row>
    <row r="553" spans="1:13" ht="15" x14ac:dyDescent="0.25">
      <c r="A553" s="213">
        <v>43363</v>
      </c>
      <c r="B553" s="249" t="s">
        <v>388</v>
      </c>
      <c r="C553" s="215"/>
      <c r="D553" s="249" t="s">
        <v>389</v>
      </c>
      <c r="E553" s="216"/>
      <c r="F553" s="216" t="s">
        <v>390</v>
      </c>
      <c r="G553" s="147" t="s">
        <v>391</v>
      </c>
      <c r="I553" s="216"/>
      <c r="J553" s="216"/>
      <c r="K553" s="216"/>
      <c r="L553" s="129">
        <v>1700</v>
      </c>
      <c r="M553" s="129">
        <f t="shared" si="28"/>
        <v>23434.070000000014</v>
      </c>
    </row>
    <row r="554" spans="1:13" x14ac:dyDescent="0.2">
      <c r="A554" s="131"/>
      <c r="B554" s="151" t="s">
        <v>392</v>
      </c>
      <c r="C554" s="152"/>
      <c r="D554" s="186" t="s">
        <v>393</v>
      </c>
      <c r="E554" s="122"/>
      <c r="F554" s="122"/>
      <c r="G554" s="147" t="s">
        <v>394</v>
      </c>
      <c r="H554" s="123"/>
      <c r="I554" s="127"/>
      <c r="J554" s="128"/>
      <c r="K554" s="128"/>
      <c r="L554" s="129">
        <v>950</v>
      </c>
      <c r="M554" s="129">
        <f t="shared" si="28"/>
        <v>22484.070000000014</v>
      </c>
    </row>
    <row r="555" spans="1:13" x14ac:dyDescent="0.2">
      <c r="A555" s="185"/>
      <c r="B555" s="151" t="s">
        <v>395</v>
      </c>
      <c r="C555" s="152"/>
      <c r="D555" s="186" t="s">
        <v>396</v>
      </c>
      <c r="E555" s="122"/>
      <c r="F555" s="146"/>
      <c r="G555" s="147" t="s">
        <v>397</v>
      </c>
      <c r="H555" s="148"/>
      <c r="I555" s="127"/>
      <c r="J555" s="128"/>
      <c r="K555" s="128"/>
      <c r="L555" s="149">
        <v>850</v>
      </c>
      <c r="M555" s="129">
        <f t="shared" si="28"/>
        <v>21634.070000000014</v>
      </c>
    </row>
    <row r="556" spans="1:13" x14ac:dyDescent="0.2">
      <c r="A556" s="185">
        <v>43369</v>
      </c>
      <c r="B556" s="253" t="s">
        <v>398</v>
      </c>
      <c r="C556" s="262"/>
      <c r="D556" s="254" t="s">
        <v>399</v>
      </c>
      <c r="E556" s="122"/>
      <c r="F556" s="146" t="s">
        <v>400</v>
      </c>
      <c r="G556" s="147" t="s">
        <v>401</v>
      </c>
      <c r="H556" s="148"/>
      <c r="I556" s="127"/>
      <c r="J556" s="128"/>
      <c r="K556" s="128"/>
      <c r="L556" s="149">
        <v>800</v>
      </c>
      <c r="M556" s="129">
        <f t="shared" si="28"/>
        <v>20834.070000000014</v>
      </c>
    </row>
    <row r="557" spans="1:13" ht="54" customHeight="1" x14ac:dyDescent="0.25">
      <c r="A557" s="131">
        <v>43369</v>
      </c>
      <c r="B557" s="523" t="s">
        <v>339</v>
      </c>
      <c r="C557" s="524"/>
      <c r="D557" s="122"/>
      <c r="E557" s="122"/>
      <c r="F557" s="251" t="s">
        <v>337</v>
      </c>
      <c r="G557" s="252" t="s">
        <v>402</v>
      </c>
      <c r="H557" s="123"/>
      <c r="I557" s="127"/>
      <c r="J557" s="128"/>
      <c r="K557" s="128"/>
      <c r="L557" s="149">
        <v>300</v>
      </c>
      <c r="M557" s="129">
        <f t="shared" si="28"/>
        <v>20534.070000000014</v>
      </c>
    </row>
    <row r="558" spans="1:13" x14ac:dyDescent="0.2">
      <c r="A558" s="131"/>
      <c r="B558" s="132"/>
      <c r="C558" s="122"/>
      <c r="D558" s="122"/>
      <c r="E558" s="122"/>
      <c r="F558" s="122"/>
      <c r="G558" s="133"/>
      <c r="H558" s="123"/>
      <c r="I558" s="127"/>
      <c r="J558" s="128"/>
      <c r="K558" s="128"/>
      <c r="L558" s="149"/>
      <c r="M558" s="129">
        <f t="shared" si="28"/>
        <v>20534.070000000014</v>
      </c>
    </row>
    <row r="559" spans="1:13" x14ac:dyDescent="0.2">
      <c r="A559" s="219"/>
      <c r="B559" s="261"/>
      <c r="C559" s="223"/>
      <c r="D559" s="223"/>
      <c r="E559" s="223"/>
      <c r="F559" s="223"/>
      <c r="G559" s="133"/>
      <c r="H559" s="225"/>
      <c r="I559" s="226"/>
      <c r="J559" s="227"/>
      <c r="K559" s="228"/>
      <c r="L559" s="229"/>
      <c r="M559" s="129">
        <f t="shared" si="28"/>
        <v>20534.070000000014</v>
      </c>
    </row>
    <row r="560" spans="1:13" x14ac:dyDescent="0.2">
      <c r="A560" s="131"/>
      <c r="B560" s="523"/>
      <c r="C560" s="524"/>
      <c r="D560" s="122"/>
      <c r="E560" s="122"/>
      <c r="F560" s="251"/>
      <c r="G560" s="133"/>
      <c r="H560" s="123"/>
      <c r="I560" s="127"/>
      <c r="J560" s="128"/>
      <c r="K560" s="128"/>
      <c r="L560" s="149"/>
      <c r="M560" s="129">
        <f t="shared" si="28"/>
        <v>20534.070000000014</v>
      </c>
    </row>
    <row r="561" spans="1:13" x14ac:dyDescent="0.2">
      <c r="A561" s="131"/>
      <c r="B561" s="132"/>
      <c r="C561" s="122"/>
      <c r="D561" s="122"/>
      <c r="E561" s="122"/>
      <c r="F561" s="122"/>
      <c r="G561" s="133"/>
      <c r="H561" s="123"/>
      <c r="I561" s="127"/>
      <c r="J561" s="128"/>
      <c r="K561" s="128"/>
      <c r="L561" s="149"/>
      <c r="M561" s="129">
        <f t="shared" si="28"/>
        <v>20534.070000000014</v>
      </c>
    </row>
    <row r="562" spans="1:13" ht="15" x14ac:dyDescent="0.25">
      <c r="A562" s="131"/>
      <c r="B562" s="523"/>
      <c r="C562" s="524"/>
      <c r="D562" s="122"/>
      <c r="E562" s="122"/>
      <c r="F562" s="251"/>
      <c r="G562" s="252"/>
      <c r="H562" s="123"/>
      <c r="I562" s="127"/>
      <c r="J562" s="128"/>
      <c r="K562" s="128"/>
      <c r="L562" s="149"/>
      <c r="M562" s="129">
        <f t="shared" si="28"/>
        <v>20534.070000000014</v>
      </c>
    </row>
    <row r="563" spans="1:13" x14ac:dyDescent="0.2">
      <c r="A563" s="230"/>
      <c r="B563" s="231"/>
      <c r="C563" s="232"/>
      <c r="D563" s="232"/>
      <c r="E563" s="232"/>
      <c r="F563" s="232"/>
      <c r="G563" s="133"/>
      <c r="H563" s="123"/>
      <c r="I563" s="127"/>
      <c r="J563" s="128"/>
      <c r="K563" s="128"/>
      <c r="L563" s="149"/>
      <c r="M563" s="129"/>
    </row>
    <row r="564" spans="1:13" ht="13.5" thickBot="1" x14ac:dyDescent="0.25">
      <c r="A564" s="238"/>
      <c r="B564" s="239"/>
      <c r="C564" s="240"/>
      <c r="D564" s="240"/>
      <c r="E564" s="241"/>
      <c r="F564" s="242"/>
      <c r="G564" s="243"/>
      <c r="H564" s="244" t="s">
        <v>250</v>
      </c>
      <c r="I564" s="161">
        <f>SUM(I510:I558)</f>
        <v>18708</v>
      </c>
      <c r="J564" s="245">
        <f>SUM(J510:J558)</f>
        <v>5986.5599999999986</v>
      </c>
      <c r="K564" s="246">
        <f>SUM(K510:K548)</f>
        <v>12721.440000000004</v>
      </c>
      <c r="L564" s="247">
        <f>SUM(L553:L562)</f>
        <v>4600</v>
      </c>
      <c r="M564" s="248"/>
    </row>
    <row r="565" spans="1:13" ht="13.5" thickBot="1" x14ac:dyDescent="0.25">
      <c r="A565" s="166"/>
      <c r="C565" s="168"/>
      <c r="D565" s="168"/>
      <c r="E565" s="169"/>
      <c r="F565" s="170"/>
      <c r="G565" s="171"/>
      <c r="H565" s="160" t="s">
        <v>13</v>
      </c>
      <c r="I565" s="172"/>
      <c r="J565" s="173"/>
      <c r="K565" s="174"/>
      <c r="L565" s="174"/>
      <c r="M565" s="175">
        <f>+K564-L564+M509</f>
        <v>20940.710000000021</v>
      </c>
    </row>
    <row r="566" spans="1:13" x14ac:dyDescent="0.2">
      <c r="A566" s="166"/>
      <c r="C566" s="168"/>
      <c r="D566" s="168"/>
      <c r="E566" s="169"/>
      <c r="F566" s="170"/>
      <c r="G566" s="171"/>
      <c r="H566" s="171"/>
      <c r="I566" s="189"/>
      <c r="J566" s="188"/>
      <c r="K566" s="180"/>
      <c r="L566" s="180"/>
      <c r="M566" s="189"/>
    </row>
    <row r="567" spans="1:13" x14ac:dyDescent="0.2">
      <c r="A567" s="527" t="s">
        <v>95</v>
      </c>
      <c r="B567" s="528"/>
      <c r="C567" s="528"/>
      <c r="D567" s="528"/>
      <c r="E567" s="528"/>
      <c r="F567" s="528"/>
      <c r="G567" s="528"/>
      <c r="H567" s="528"/>
      <c r="I567" s="528"/>
      <c r="J567" s="528"/>
      <c r="K567" s="528"/>
      <c r="L567" s="528"/>
      <c r="M567" s="529"/>
    </row>
    <row r="568" spans="1:13" x14ac:dyDescent="0.2">
      <c r="A568" s="530"/>
      <c r="B568" s="531"/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2"/>
    </row>
    <row r="569" spans="1:13" ht="15" x14ac:dyDescent="0.25">
      <c r="A569" s="533" t="s">
        <v>403</v>
      </c>
      <c r="B569" s="534"/>
      <c r="C569" s="534"/>
      <c r="D569" s="534"/>
      <c r="E569" s="534"/>
      <c r="F569" s="534"/>
      <c r="G569" s="534"/>
      <c r="H569" s="534"/>
      <c r="I569" s="534"/>
      <c r="J569" s="534"/>
      <c r="K569" s="534"/>
      <c r="L569" s="534"/>
      <c r="M569" s="534"/>
    </row>
    <row r="570" spans="1:13" x14ac:dyDescent="0.2">
      <c r="A570" s="115" t="s">
        <v>1</v>
      </c>
      <c r="B570" s="116" t="s">
        <v>2</v>
      </c>
      <c r="C570" s="117" t="s">
        <v>3</v>
      </c>
      <c r="D570" s="117" t="s">
        <v>4</v>
      </c>
      <c r="E570" s="117" t="s">
        <v>96</v>
      </c>
      <c r="F570" s="117" t="s">
        <v>5</v>
      </c>
      <c r="G570" s="118" t="s">
        <v>97</v>
      </c>
      <c r="H570" s="118" t="s">
        <v>6</v>
      </c>
      <c r="I570" s="117" t="s">
        <v>7</v>
      </c>
      <c r="J570" s="117" t="s">
        <v>8</v>
      </c>
      <c r="K570" s="117" t="s">
        <v>9</v>
      </c>
      <c r="L570" s="119" t="s">
        <v>10</v>
      </c>
      <c r="M570" s="117" t="s">
        <v>11</v>
      </c>
    </row>
    <row r="571" spans="1:13" x14ac:dyDescent="0.2">
      <c r="A571" s="120"/>
      <c r="B571" s="121"/>
      <c r="C571" s="122"/>
      <c r="D571" s="122"/>
      <c r="E571" s="122"/>
      <c r="F571" s="122"/>
      <c r="G571" s="101"/>
      <c r="H571" s="123"/>
      <c r="I571" s="124"/>
      <c r="J571" s="125"/>
      <c r="K571" s="125"/>
      <c r="L571" s="125"/>
      <c r="M571" s="124">
        <f>M565</f>
        <v>20940.710000000021</v>
      </c>
    </row>
    <row r="572" spans="1:13" ht="14.25" x14ac:dyDescent="0.2">
      <c r="A572" s="201">
        <v>43376</v>
      </c>
      <c r="B572" s="184" t="s">
        <v>404</v>
      </c>
      <c r="C572" s="126"/>
      <c r="D572" s="122"/>
      <c r="E572" s="122"/>
      <c r="F572" s="122"/>
      <c r="G572" s="126" t="s">
        <v>405</v>
      </c>
      <c r="H572" s="122"/>
      <c r="I572" s="190">
        <v>308</v>
      </c>
      <c r="J572" s="182">
        <f>+I572*0.32</f>
        <v>98.56</v>
      </c>
      <c r="K572" s="182">
        <f>+I572*0.68</f>
        <v>209.44000000000003</v>
      </c>
      <c r="L572" s="128"/>
      <c r="M572" s="129">
        <f>+K572-L572+M571</f>
        <v>21150.15000000002</v>
      </c>
    </row>
    <row r="573" spans="1:13" ht="14.25" x14ac:dyDescent="0.2">
      <c r="A573" s="201">
        <v>43379</v>
      </c>
      <c r="B573" s="184" t="s">
        <v>404</v>
      </c>
      <c r="C573" s="126"/>
      <c r="D573" s="122"/>
      <c r="E573" s="122"/>
      <c r="F573" s="122"/>
      <c r="G573" s="126" t="s">
        <v>405</v>
      </c>
      <c r="H573" s="122"/>
      <c r="I573" s="190">
        <v>288</v>
      </c>
      <c r="J573" s="182">
        <f t="shared" ref="J573:J609" si="29">+I573*0.32</f>
        <v>92.16</v>
      </c>
      <c r="K573" s="182">
        <f>+I573*0.68</f>
        <v>195.84</v>
      </c>
      <c r="L573" s="128"/>
      <c r="M573" s="129">
        <f t="shared" ref="M573:M626" si="30">+K573-L573+M572</f>
        <v>21345.99000000002</v>
      </c>
    </row>
    <row r="574" spans="1:13" ht="14.25" x14ac:dyDescent="0.2">
      <c r="A574" s="201">
        <v>43382</v>
      </c>
      <c r="B574" s="184" t="s">
        <v>404</v>
      </c>
      <c r="C574" s="126"/>
      <c r="D574" s="122"/>
      <c r="E574" s="183"/>
      <c r="F574" s="183"/>
      <c r="G574" s="126" t="s">
        <v>405</v>
      </c>
      <c r="H574" s="122"/>
      <c r="I574" s="190">
        <v>164</v>
      </c>
      <c r="J574" s="182">
        <f t="shared" si="29"/>
        <v>52.480000000000004</v>
      </c>
      <c r="K574" s="182">
        <f t="shared" ref="K574:K614" si="31">+I574*0.68</f>
        <v>111.52000000000001</v>
      </c>
      <c r="L574" s="128"/>
      <c r="M574" s="129">
        <f t="shared" si="30"/>
        <v>21457.51000000002</v>
      </c>
    </row>
    <row r="575" spans="1:13" ht="14.25" x14ac:dyDescent="0.2">
      <c r="A575" s="201">
        <v>43383</v>
      </c>
      <c r="B575" s="184" t="s">
        <v>404</v>
      </c>
      <c r="C575" s="126"/>
      <c r="D575" s="122"/>
      <c r="E575" s="122"/>
      <c r="F575" s="122"/>
      <c r="G575" s="126" t="s">
        <v>405</v>
      </c>
      <c r="H575" s="122"/>
      <c r="I575" s="190">
        <v>308</v>
      </c>
      <c r="J575" s="182">
        <f t="shared" si="29"/>
        <v>98.56</v>
      </c>
      <c r="K575" s="182">
        <f t="shared" si="31"/>
        <v>209.44000000000003</v>
      </c>
      <c r="L575" s="128"/>
      <c r="M575" s="129">
        <f t="shared" si="30"/>
        <v>21666.950000000019</v>
      </c>
    </row>
    <row r="576" spans="1:13" ht="14.25" x14ac:dyDescent="0.2">
      <c r="A576" s="201">
        <v>43384</v>
      </c>
      <c r="B576" s="184" t="s">
        <v>404</v>
      </c>
      <c r="C576" s="126"/>
      <c r="D576" s="122"/>
      <c r="E576" s="122"/>
      <c r="F576" s="122"/>
      <c r="G576" s="126" t="s">
        <v>405</v>
      </c>
      <c r="H576" s="122"/>
      <c r="I576" s="190">
        <v>144</v>
      </c>
      <c r="J576" s="182">
        <f t="shared" si="29"/>
        <v>46.08</v>
      </c>
      <c r="K576" s="182">
        <f t="shared" si="31"/>
        <v>97.92</v>
      </c>
      <c r="L576" s="128"/>
      <c r="M576" s="129">
        <f t="shared" si="30"/>
        <v>21764.870000000017</v>
      </c>
    </row>
    <row r="577" spans="1:13" ht="14.25" x14ac:dyDescent="0.2">
      <c r="A577" s="201">
        <v>43385</v>
      </c>
      <c r="B577" s="184" t="s">
        <v>404</v>
      </c>
      <c r="C577" s="126"/>
      <c r="D577" s="122"/>
      <c r="E577" s="122"/>
      <c r="F577" s="122"/>
      <c r="G577" s="126" t="s">
        <v>405</v>
      </c>
      <c r="H577" s="122"/>
      <c r="I577" s="203">
        <v>560</v>
      </c>
      <c r="J577" s="182">
        <f t="shared" si="29"/>
        <v>179.20000000000002</v>
      </c>
      <c r="K577" s="182">
        <f t="shared" si="31"/>
        <v>380.8</v>
      </c>
      <c r="L577" s="128"/>
      <c r="M577" s="129">
        <f t="shared" si="30"/>
        <v>22145.670000000016</v>
      </c>
    </row>
    <row r="578" spans="1:13" ht="14.25" x14ac:dyDescent="0.2">
      <c r="A578" s="201">
        <v>43388</v>
      </c>
      <c r="B578" s="184" t="s">
        <v>404</v>
      </c>
      <c r="C578" s="126"/>
      <c r="D578" s="122"/>
      <c r="E578" s="122"/>
      <c r="F578" s="122"/>
      <c r="G578" s="126" t="s">
        <v>405</v>
      </c>
      <c r="H578" s="122"/>
      <c r="I578" s="203">
        <v>308</v>
      </c>
      <c r="J578" s="182">
        <f t="shared" si="29"/>
        <v>98.56</v>
      </c>
      <c r="K578" s="182">
        <f t="shared" si="31"/>
        <v>209.44000000000003</v>
      </c>
      <c r="L578" s="128"/>
      <c r="M578" s="129">
        <f t="shared" si="30"/>
        <v>22355.110000000015</v>
      </c>
    </row>
    <row r="579" spans="1:13" ht="14.25" x14ac:dyDescent="0.2">
      <c r="A579" s="201">
        <v>43390</v>
      </c>
      <c r="B579" s="184" t="s">
        <v>404</v>
      </c>
      <c r="C579" s="126"/>
      <c r="D579" s="122"/>
      <c r="E579" s="122"/>
      <c r="F579" s="122"/>
      <c r="G579" s="126" t="s">
        <v>405</v>
      </c>
      <c r="H579" s="122"/>
      <c r="I579" s="203">
        <v>20</v>
      </c>
      <c r="J579" s="182">
        <f t="shared" si="29"/>
        <v>6.4</v>
      </c>
      <c r="K579" s="182">
        <f t="shared" si="31"/>
        <v>13.600000000000001</v>
      </c>
      <c r="L579" s="128"/>
      <c r="M579" s="129">
        <f t="shared" si="30"/>
        <v>22368.710000000014</v>
      </c>
    </row>
    <row r="580" spans="1:13" ht="14.25" x14ac:dyDescent="0.2">
      <c r="A580" s="201">
        <v>43391</v>
      </c>
      <c r="B580" s="184" t="s">
        <v>406</v>
      </c>
      <c r="C580" s="126"/>
      <c r="D580" s="122"/>
      <c r="E580" s="122"/>
      <c r="F580" s="122"/>
      <c r="G580" s="126" t="s">
        <v>407</v>
      </c>
      <c r="H580" s="122"/>
      <c r="I580" s="203">
        <v>320</v>
      </c>
      <c r="J580" s="182">
        <f t="shared" si="29"/>
        <v>102.4</v>
      </c>
      <c r="K580" s="182">
        <f t="shared" si="31"/>
        <v>217.60000000000002</v>
      </c>
      <c r="L580" s="128"/>
      <c r="M580" s="129">
        <f t="shared" si="30"/>
        <v>22586.310000000012</v>
      </c>
    </row>
    <row r="581" spans="1:13" ht="14.25" x14ac:dyDescent="0.2">
      <c r="A581" s="201">
        <v>43392</v>
      </c>
      <c r="B581" s="184" t="s">
        <v>406</v>
      </c>
      <c r="C581" s="126"/>
      <c r="D581" s="122"/>
      <c r="E581" s="122"/>
      <c r="F581" s="122"/>
      <c r="G581" s="126" t="s">
        <v>407</v>
      </c>
      <c r="H581" s="122"/>
      <c r="I581" s="203">
        <v>628</v>
      </c>
      <c r="J581" s="182">
        <f t="shared" si="29"/>
        <v>200.96</v>
      </c>
      <c r="K581" s="182">
        <f t="shared" si="31"/>
        <v>427.04</v>
      </c>
      <c r="L581" s="128"/>
      <c r="M581" s="129">
        <f t="shared" si="30"/>
        <v>23013.350000000013</v>
      </c>
    </row>
    <row r="582" spans="1:13" ht="14.25" x14ac:dyDescent="0.2">
      <c r="A582" s="201">
        <v>43393</v>
      </c>
      <c r="B582" s="184" t="s">
        <v>406</v>
      </c>
      <c r="C582" s="126"/>
      <c r="D582" s="135"/>
      <c r="E582" s="122"/>
      <c r="F582" s="122"/>
      <c r="G582" s="126" t="s">
        <v>407</v>
      </c>
      <c r="H582" s="135"/>
      <c r="I582" s="203">
        <v>200</v>
      </c>
      <c r="J582" s="182">
        <f t="shared" si="29"/>
        <v>64</v>
      </c>
      <c r="K582" s="182">
        <f t="shared" si="31"/>
        <v>136</v>
      </c>
      <c r="L582" s="128"/>
      <c r="M582" s="129">
        <f t="shared" si="30"/>
        <v>23149.350000000013</v>
      </c>
    </row>
    <row r="583" spans="1:13" ht="14.25" x14ac:dyDescent="0.2">
      <c r="A583" s="201">
        <v>43395</v>
      </c>
      <c r="B583" s="184" t="s">
        <v>406</v>
      </c>
      <c r="C583" s="126"/>
      <c r="D583" s="135"/>
      <c r="E583" s="122"/>
      <c r="F583" s="122"/>
      <c r="G583" s="126" t="s">
        <v>407</v>
      </c>
      <c r="H583" s="135"/>
      <c r="I583" s="203">
        <v>430</v>
      </c>
      <c r="J583" s="182">
        <f t="shared" si="29"/>
        <v>137.6</v>
      </c>
      <c r="K583" s="182">
        <f t="shared" si="31"/>
        <v>292.40000000000003</v>
      </c>
      <c r="L583" s="128"/>
      <c r="M583" s="129">
        <f t="shared" si="30"/>
        <v>23441.750000000015</v>
      </c>
    </row>
    <row r="584" spans="1:13" ht="14.25" x14ac:dyDescent="0.2">
      <c r="A584" s="201">
        <v>43396</v>
      </c>
      <c r="B584" s="184" t="s">
        <v>406</v>
      </c>
      <c r="C584" s="126"/>
      <c r="D584" s="135"/>
      <c r="E584" s="122"/>
      <c r="F584" s="122"/>
      <c r="G584" s="126" t="s">
        <v>407</v>
      </c>
      <c r="H584" s="135"/>
      <c r="I584" s="203">
        <v>468</v>
      </c>
      <c r="J584" s="182">
        <f t="shared" si="29"/>
        <v>149.76</v>
      </c>
      <c r="K584" s="182">
        <f t="shared" si="31"/>
        <v>318.24</v>
      </c>
      <c r="L584" s="128"/>
      <c r="M584" s="129">
        <f t="shared" si="30"/>
        <v>23759.990000000016</v>
      </c>
    </row>
    <row r="585" spans="1:13" ht="14.25" x14ac:dyDescent="0.2">
      <c r="A585" s="201">
        <v>43399</v>
      </c>
      <c r="B585" s="184" t="s">
        <v>406</v>
      </c>
      <c r="C585" s="126"/>
      <c r="D585" s="135"/>
      <c r="E585" s="122"/>
      <c r="F585" s="122"/>
      <c r="G585" s="126" t="s">
        <v>407</v>
      </c>
      <c r="H585" s="135"/>
      <c r="I585" s="203">
        <v>308</v>
      </c>
      <c r="J585" s="182">
        <f t="shared" si="29"/>
        <v>98.56</v>
      </c>
      <c r="K585" s="182">
        <f t="shared" si="31"/>
        <v>209.44000000000003</v>
      </c>
      <c r="L585" s="128"/>
      <c r="M585" s="129">
        <f t="shared" si="30"/>
        <v>23969.430000000015</v>
      </c>
    </row>
    <row r="586" spans="1:13" ht="14.25" x14ac:dyDescent="0.2">
      <c r="A586" s="201">
        <v>43402</v>
      </c>
      <c r="B586" s="184" t="s">
        <v>406</v>
      </c>
      <c r="C586" s="126"/>
      <c r="D586" s="135"/>
      <c r="E586" s="122"/>
      <c r="F586" s="122"/>
      <c r="G586" s="126" t="s">
        <v>407</v>
      </c>
      <c r="H586" s="135"/>
      <c r="I586" s="203">
        <v>190</v>
      </c>
      <c r="J586" s="182">
        <f t="shared" si="29"/>
        <v>60.800000000000004</v>
      </c>
      <c r="K586" s="182">
        <f t="shared" si="31"/>
        <v>129.20000000000002</v>
      </c>
      <c r="L586" s="128"/>
      <c r="M586" s="129">
        <f t="shared" si="30"/>
        <v>24098.630000000016</v>
      </c>
    </row>
    <row r="587" spans="1:13" ht="14.25" x14ac:dyDescent="0.2">
      <c r="A587" s="201">
        <v>43403</v>
      </c>
      <c r="B587" s="184" t="s">
        <v>406</v>
      </c>
      <c r="C587" s="126"/>
      <c r="D587" s="135"/>
      <c r="E587" s="122"/>
      <c r="F587" s="122"/>
      <c r="G587" s="126" t="s">
        <v>407</v>
      </c>
      <c r="H587" s="135"/>
      <c r="I587" s="203">
        <v>190</v>
      </c>
      <c r="J587" s="182">
        <f t="shared" si="29"/>
        <v>60.800000000000004</v>
      </c>
      <c r="K587" s="182">
        <f t="shared" si="31"/>
        <v>129.20000000000002</v>
      </c>
      <c r="L587" s="128"/>
      <c r="M587" s="129">
        <f t="shared" si="30"/>
        <v>24227.830000000016</v>
      </c>
    </row>
    <row r="588" spans="1:13" ht="14.25" x14ac:dyDescent="0.2">
      <c r="A588" s="201">
        <v>43404</v>
      </c>
      <c r="B588" s="184" t="s">
        <v>406</v>
      </c>
      <c r="C588" s="126"/>
      <c r="D588" s="135"/>
      <c r="E588" s="122"/>
      <c r="F588" s="122"/>
      <c r="G588" s="126" t="s">
        <v>407</v>
      </c>
      <c r="H588" s="135"/>
      <c r="I588" s="203">
        <v>328</v>
      </c>
      <c r="J588" s="182">
        <f t="shared" si="29"/>
        <v>104.96000000000001</v>
      </c>
      <c r="K588" s="182">
        <f t="shared" si="31"/>
        <v>223.04000000000002</v>
      </c>
      <c r="L588" s="128"/>
      <c r="M588" s="129">
        <f t="shared" si="30"/>
        <v>24450.870000000017</v>
      </c>
    </row>
    <row r="589" spans="1:13" ht="14.25" x14ac:dyDescent="0.2">
      <c r="A589" s="201">
        <v>43739</v>
      </c>
      <c r="B589" s="184"/>
      <c r="C589" s="126"/>
      <c r="D589" s="135"/>
      <c r="E589" s="122"/>
      <c r="F589" s="122"/>
      <c r="G589" s="126"/>
      <c r="H589" s="135"/>
      <c r="I589" s="203">
        <v>308</v>
      </c>
      <c r="J589" s="182">
        <f t="shared" si="29"/>
        <v>98.56</v>
      </c>
      <c r="K589" s="182">
        <f t="shared" si="31"/>
        <v>209.44000000000003</v>
      </c>
      <c r="L589" s="128"/>
      <c r="M589" s="129">
        <f t="shared" si="30"/>
        <v>24660.310000000016</v>
      </c>
    </row>
    <row r="590" spans="1:13" ht="14.25" x14ac:dyDescent="0.2">
      <c r="A590" s="201">
        <v>43740</v>
      </c>
      <c r="B590" s="184"/>
      <c r="C590" s="126"/>
      <c r="D590" s="135"/>
      <c r="E590" s="122"/>
      <c r="F590" s="122"/>
      <c r="G590" s="126"/>
      <c r="H590" s="135"/>
      <c r="I590" s="203">
        <v>270</v>
      </c>
      <c r="J590" s="182">
        <f t="shared" si="29"/>
        <v>86.4</v>
      </c>
      <c r="K590" s="182">
        <f t="shared" si="31"/>
        <v>183.60000000000002</v>
      </c>
      <c r="L590" s="128"/>
      <c r="M590" s="129">
        <f t="shared" si="30"/>
        <v>24843.910000000014</v>
      </c>
    </row>
    <row r="591" spans="1:13" ht="14.25" x14ac:dyDescent="0.2">
      <c r="A591" s="201">
        <v>43741</v>
      </c>
      <c r="B591" s="184"/>
      <c r="C591" s="126"/>
      <c r="D591" s="135"/>
      <c r="E591" s="122"/>
      <c r="F591" s="122"/>
      <c r="G591" s="126"/>
      <c r="H591" s="135"/>
      <c r="I591" s="203">
        <v>308</v>
      </c>
      <c r="J591" s="182">
        <f t="shared" si="29"/>
        <v>98.56</v>
      </c>
      <c r="K591" s="182">
        <f t="shared" si="31"/>
        <v>209.44000000000003</v>
      </c>
      <c r="L591" s="128"/>
      <c r="M591" s="129">
        <f t="shared" si="30"/>
        <v>25053.350000000013</v>
      </c>
    </row>
    <row r="592" spans="1:13" ht="14.25" x14ac:dyDescent="0.2">
      <c r="A592" s="201">
        <v>43742</v>
      </c>
      <c r="B592" s="184"/>
      <c r="C592" s="126"/>
      <c r="D592" s="135"/>
      <c r="E592" s="122"/>
      <c r="F592" s="122"/>
      <c r="G592" s="126"/>
      <c r="H592" s="135"/>
      <c r="I592" s="203">
        <v>184</v>
      </c>
      <c r="J592" s="182">
        <f t="shared" si="29"/>
        <v>58.88</v>
      </c>
      <c r="K592" s="182">
        <f t="shared" si="31"/>
        <v>125.12</v>
      </c>
      <c r="L592" s="128"/>
      <c r="M592" s="129">
        <f t="shared" si="30"/>
        <v>25178.470000000012</v>
      </c>
    </row>
    <row r="593" spans="1:13" ht="14.25" x14ac:dyDescent="0.2">
      <c r="A593" s="201">
        <v>43743</v>
      </c>
      <c r="B593" s="184"/>
      <c r="C593" s="126"/>
      <c r="D593" s="135"/>
      <c r="E593" s="122"/>
      <c r="F593" s="122"/>
      <c r="G593" s="126"/>
      <c r="H593" s="135"/>
      <c r="I593" s="203">
        <v>308</v>
      </c>
      <c r="J593" s="182">
        <f t="shared" si="29"/>
        <v>98.56</v>
      </c>
      <c r="K593" s="182">
        <f t="shared" si="31"/>
        <v>209.44000000000003</v>
      </c>
      <c r="L593" s="128"/>
      <c r="M593" s="129">
        <f t="shared" si="30"/>
        <v>25387.910000000011</v>
      </c>
    </row>
    <row r="594" spans="1:13" ht="14.25" x14ac:dyDescent="0.2">
      <c r="A594" s="201">
        <v>43748</v>
      </c>
      <c r="B594" s="184"/>
      <c r="C594" s="126"/>
      <c r="D594" s="135"/>
      <c r="E594" s="122"/>
      <c r="F594" s="122"/>
      <c r="G594" s="126"/>
      <c r="H594" s="135"/>
      <c r="I594" s="203">
        <v>308</v>
      </c>
      <c r="J594" s="182">
        <f t="shared" si="29"/>
        <v>98.56</v>
      </c>
      <c r="K594" s="182">
        <f t="shared" si="31"/>
        <v>209.44000000000003</v>
      </c>
      <c r="L594" s="128"/>
      <c r="M594" s="129">
        <f t="shared" si="30"/>
        <v>25597.350000000009</v>
      </c>
    </row>
    <row r="595" spans="1:13" ht="14.25" x14ac:dyDescent="0.2">
      <c r="A595" s="201">
        <v>43750</v>
      </c>
      <c r="B595" s="184"/>
      <c r="C595" s="126"/>
      <c r="D595" s="135"/>
      <c r="E595" s="122"/>
      <c r="F595" s="122"/>
      <c r="G595" s="126"/>
      <c r="H595" s="135"/>
      <c r="I595" s="203">
        <v>924</v>
      </c>
      <c r="J595" s="182">
        <f t="shared" si="29"/>
        <v>295.68</v>
      </c>
      <c r="K595" s="182">
        <f t="shared" si="31"/>
        <v>628.32000000000005</v>
      </c>
      <c r="L595" s="128"/>
      <c r="M595" s="129">
        <f t="shared" si="30"/>
        <v>26225.670000000009</v>
      </c>
    </row>
    <row r="596" spans="1:13" ht="14.25" x14ac:dyDescent="0.2">
      <c r="A596" s="201">
        <v>43751</v>
      </c>
      <c r="B596" s="184"/>
      <c r="C596" s="126"/>
      <c r="D596" s="135"/>
      <c r="E596" s="122"/>
      <c r="F596" s="122"/>
      <c r="G596" s="126"/>
      <c r="H596" s="135"/>
      <c r="I596" s="203">
        <v>20</v>
      </c>
      <c r="J596" s="182">
        <f t="shared" si="29"/>
        <v>6.4</v>
      </c>
      <c r="K596" s="182">
        <f t="shared" si="31"/>
        <v>13.600000000000001</v>
      </c>
      <c r="L596" s="128"/>
      <c r="M596" s="129">
        <f t="shared" si="30"/>
        <v>26239.270000000008</v>
      </c>
    </row>
    <row r="597" spans="1:13" ht="14.25" x14ac:dyDescent="0.2">
      <c r="A597" s="201">
        <v>43753</v>
      </c>
      <c r="B597" s="184"/>
      <c r="C597" s="126"/>
      <c r="D597" s="135"/>
      <c r="E597" s="122"/>
      <c r="F597" s="122"/>
      <c r="G597" s="126"/>
      <c r="H597" s="135"/>
      <c r="I597" s="203">
        <v>640</v>
      </c>
      <c r="J597" s="182">
        <f t="shared" si="29"/>
        <v>204.8</v>
      </c>
      <c r="K597" s="182">
        <f t="shared" si="31"/>
        <v>435.20000000000005</v>
      </c>
      <c r="L597" s="128"/>
      <c r="M597" s="129">
        <f t="shared" si="30"/>
        <v>26674.470000000008</v>
      </c>
    </row>
    <row r="598" spans="1:13" ht="14.25" x14ac:dyDescent="0.2">
      <c r="A598" s="201">
        <v>43754</v>
      </c>
      <c r="B598" s="184"/>
      <c r="C598" s="126"/>
      <c r="D598" s="135"/>
      <c r="E598" s="122"/>
      <c r="F598" s="122"/>
      <c r="G598" s="126"/>
      <c r="H598" s="135"/>
      <c r="I598" s="203">
        <v>740</v>
      </c>
      <c r="J598" s="182">
        <f t="shared" si="29"/>
        <v>236.8</v>
      </c>
      <c r="K598" s="182">
        <f t="shared" si="31"/>
        <v>503.20000000000005</v>
      </c>
      <c r="L598" s="128"/>
      <c r="M598" s="129">
        <f t="shared" si="30"/>
        <v>27177.670000000009</v>
      </c>
    </row>
    <row r="599" spans="1:13" ht="14.25" x14ac:dyDescent="0.2">
      <c r="A599" s="201">
        <v>43755</v>
      </c>
      <c r="B599" s="184"/>
      <c r="C599" s="126"/>
      <c r="D599" s="135"/>
      <c r="E599" s="122"/>
      <c r="F599" s="122"/>
      <c r="G599" s="126"/>
      <c r="H599" s="135"/>
      <c r="I599" s="203">
        <v>358</v>
      </c>
      <c r="J599" s="182">
        <f t="shared" si="29"/>
        <v>114.56</v>
      </c>
      <c r="K599" s="182">
        <f t="shared" si="31"/>
        <v>243.44000000000003</v>
      </c>
      <c r="L599" s="128"/>
      <c r="M599" s="129">
        <f t="shared" si="30"/>
        <v>27421.110000000008</v>
      </c>
    </row>
    <row r="600" spans="1:13" ht="14.25" x14ac:dyDescent="0.2">
      <c r="A600" s="201">
        <v>43756</v>
      </c>
      <c r="B600" s="184"/>
      <c r="C600" s="126"/>
      <c r="D600" s="135"/>
      <c r="E600" s="122"/>
      <c r="F600" s="122"/>
      <c r="G600" s="126"/>
      <c r="H600" s="135"/>
      <c r="I600" s="203">
        <v>716</v>
      </c>
      <c r="J600" s="182">
        <f t="shared" si="29"/>
        <v>229.12</v>
      </c>
      <c r="K600" s="182">
        <f t="shared" si="31"/>
        <v>486.88000000000005</v>
      </c>
      <c r="L600" s="128"/>
      <c r="M600" s="129">
        <f t="shared" si="30"/>
        <v>27907.990000000009</v>
      </c>
    </row>
    <row r="601" spans="1:13" ht="14.25" x14ac:dyDescent="0.2">
      <c r="A601" s="201">
        <v>43757</v>
      </c>
      <c r="B601" s="184"/>
      <c r="C601" s="126"/>
      <c r="D601" s="135"/>
      <c r="E601" s="122"/>
      <c r="F601" s="122"/>
      <c r="G601" s="126"/>
      <c r="H601" s="135"/>
      <c r="I601" s="203">
        <v>1130</v>
      </c>
      <c r="J601" s="182">
        <f t="shared" si="29"/>
        <v>361.6</v>
      </c>
      <c r="K601" s="182">
        <f t="shared" si="31"/>
        <v>768.40000000000009</v>
      </c>
      <c r="L601" s="128"/>
      <c r="M601" s="129">
        <f t="shared" si="30"/>
        <v>28676.39000000001</v>
      </c>
    </row>
    <row r="602" spans="1:13" ht="14.25" x14ac:dyDescent="0.2">
      <c r="A602" s="201">
        <v>43760</v>
      </c>
      <c r="B602" s="184"/>
      <c r="C602" s="126"/>
      <c r="D602" s="135"/>
      <c r="E602" s="122"/>
      <c r="F602" s="122"/>
      <c r="G602" s="126"/>
      <c r="H602" s="135"/>
      <c r="I602" s="203">
        <v>340</v>
      </c>
      <c r="J602" s="182">
        <f t="shared" si="29"/>
        <v>108.8</v>
      </c>
      <c r="K602" s="182">
        <f t="shared" si="31"/>
        <v>231.20000000000002</v>
      </c>
      <c r="L602" s="128"/>
      <c r="M602" s="129">
        <f t="shared" si="30"/>
        <v>28907.590000000011</v>
      </c>
    </row>
    <row r="603" spans="1:13" ht="14.25" x14ac:dyDescent="0.2">
      <c r="A603" s="201">
        <v>43761</v>
      </c>
      <c r="B603" s="184"/>
      <c r="C603" s="126"/>
      <c r="D603" s="135"/>
      <c r="E603" s="122"/>
      <c r="F603" s="122"/>
      <c r="G603" s="126"/>
      <c r="H603" s="135"/>
      <c r="I603" s="203">
        <v>1372</v>
      </c>
      <c r="J603" s="182">
        <f t="shared" si="29"/>
        <v>439.04</v>
      </c>
      <c r="K603" s="182">
        <f t="shared" si="31"/>
        <v>932.96</v>
      </c>
      <c r="L603" s="128"/>
      <c r="M603" s="129">
        <f t="shared" si="30"/>
        <v>29840.55000000001</v>
      </c>
    </row>
    <row r="604" spans="1:13" ht="14.25" x14ac:dyDescent="0.2">
      <c r="A604" s="201">
        <v>43762</v>
      </c>
      <c r="B604" s="184"/>
      <c r="C604" s="126"/>
      <c r="D604" s="135"/>
      <c r="E604" s="122"/>
      <c r="F604" s="122"/>
      <c r="G604" s="126"/>
      <c r="H604" s="135"/>
      <c r="I604" s="203">
        <v>758</v>
      </c>
      <c r="J604" s="182">
        <f t="shared" si="29"/>
        <v>242.56</v>
      </c>
      <c r="K604" s="182">
        <f t="shared" si="31"/>
        <v>515.44000000000005</v>
      </c>
      <c r="L604" s="128"/>
      <c r="M604" s="129">
        <f t="shared" si="30"/>
        <v>30355.990000000009</v>
      </c>
    </row>
    <row r="605" spans="1:13" ht="14.25" x14ac:dyDescent="0.2">
      <c r="A605" s="201">
        <v>43763</v>
      </c>
      <c r="B605" s="184"/>
      <c r="C605" s="126"/>
      <c r="D605" s="135"/>
      <c r="E605" s="122"/>
      <c r="F605" s="122"/>
      <c r="G605" s="126"/>
      <c r="H605" s="135"/>
      <c r="I605" s="203">
        <v>616</v>
      </c>
      <c r="J605" s="182">
        <f t="shared" si="29"/>
        <v>197.12</v>
      </c>
      <c r="K605" s="182">
        <f t="shared" si="31"/>
        <v>418.88000000000005</v>
      </c>
      <c r="L605" s="128"/>
      <c r="M605" s="129">
        <f t="shared" si="30"/>
        <v>30774.87000000001</v>
      </c>
    </row>
    <row r="606" spans="1:13" ht="14.25" x14ac:dyDescent="0.2">
      <c r="A606" s="201">
        <v>43764</v>
      </c>
      <c r="B606" s="184"/>
      <c r="C606" s="126"/>
      <c r="D606" s="135"/>
      <c r="E606" s="122"/>
      <c r="F606" s="122"/>
      <c r="G606" s="126"/>
      <c r="H606" s="135"/>
      <c r="I606" s="203">
        <v>150</v>
      </c>
      <c r="J606" s="182">
        <f t="shared" si="29"/>
        <v>48</v>
      </c>
      <c r="K606" s="182">
        <f t="shared" si="31"/>
        <v>102.00000000000001</v>
      </c>
      <c r="L606" s="128"/>
      <c r="M606" s="129">
        <f t="shared" si="30"/>
        <v>30876.87000000001</v>
      </c>
    </row>
    <row r="607" spans="1:13" ht="14.25" x14ac:dyDescent="0.2">
      <c r="A607" s="201">
        <v>43767</v>
      </c>
      <c r="B607" s="184"/>
      <c r="C607" s="126"/>
      <c r="D607" s="135"/>
      <c r="E607" s="122"/>
      <c r="F607" s="122"/>
      <c r="G607" s="126"/>
      <c r="H607" s="135"/>
      <c r="I607" s="203">
        <v>924</v>
      </c>
      <c r="J607" s="182">
        <f t="shared" si="29"/>
        <v>295.68</v>
      </c>
      <c r="K607" s="182">
        <f t="shared" si="31"/>
        <v>628.32000000000005</v>
      </c>
      <c r="L607" s="128"/>
      <c r="M607" s="129">
        <f t="shared" si="30"/>
        <v>31505.19000000001</v>
      </c>
    </row>
    <row r="608" spans="1:13" ht="14.25" x14ac:dyDescent="0.2">
      <c r="A608" s="201">
        <v>43768</v>
      </c>
      <c r="B608" s="184"/>
      <c r="C608" s="126"/>
      <c r="D608" s="135"/>
      <c r="E608" s="122"/>
      <c r="F608" s="122"/>
      <c r="G608" s="126"/>
      <c r="H608" s="135"/>
      <c r="I608" s="203">
        <v>190</v>
      </c>
      <c r="J608" s="182">
        <f t="shared" si="29"/>
        <v>60.800000000000004</v>
      </c>
      <c r="K608" s="182">
        <f t="shared" si="31"/>
        <v>129.20000000000002</v>
      </c>
      <c r="L608" s="128"/>
      <c r="M608" s="129">
        <f t="shared" si="30"/>
        <v>31634.39000000001</v>
      </c>
    </row>
    <row r="609" spans="1:13" ht="14.25" x14ac:dyDescent="0.2">
      <c r="A609" s="201">
        <v>43769</v>
      </c>
      <c r="B609" s="184"/>
      <c r="C609" s="126"/>
      <c r="D609" s="135"/>
      <c r="E609" s="122"/>
      <c r="F609" s="122"/>
      <c r="G609" s="126"/>
      <c r="H609" s="135"/>
      <c r="I609" s="203">
        <v>1376</v>
      </c>
      <c r="J609" s="182">
        <f t="shared" si="29"/>
        <v>440.32</v>
      </c>
      <c r="K609" s="182">
        <f t="shared" si="31"/>
        <v>935.68000000000006</v>
      </c>
      <c r="L609" s="128"/>
      <c r="M609" s="129">
        <f t="shared" si="30"/>
        <v>32570.070000000011</v>
      </c>
    </row>
    <row r="610" spans="1:13" ht="14.25" x14ac:dyDescent="0.2">
      <c r="A610" s="201"/>
      <c r="B610" s="184"/>
      <c r="C610" s="126"/>
      <c r="D610" s="135"/>
      <c r="E610" s="122"/>
      <c r="F610" s="122"/>
      <c r="G610" s="126"/>
      <c r="H610" s="135"/>
      <c r="I610" s="203"/>
      <c r="J610" s="182"/>
      <c r="K610" s="182"/>
      <c r="L610" s="128"/>
      <c r="M610" s="129">
        <f t="shared" si="30"/>
        <v>32570.070000000011</v>
      </c>
    </row>
    <row r="611" spans="1:13" ht="14.25" x14ac:dyDescent="0.2">
      <c r="A611" s="201"/>
      <c r="B611" s="184"/>
      <c r="C611" s="126"/>
      <c r="D611" s="135"/>
      <c r="E611" s="122"/>
      <c r="F611" s="122"/>
      <c r="G611" s="126"/>
      <c r="H611" s="135"/>
      <c r="I611" s="203"/>
      <c r="J611" s="182"/>
      <c r="K611" s="182"/>
      <c r="L611" s="128"/>
      <c r="M611" s="129">
        <f t="shared" si="30"/>
        <v>32570.070000000011</v>
      </c>
    </row>
    <row r="612" spans="1:13" ht="14.25" x14ac:dyDescent="0.2">
      <c r="A612" s="201"/>
      <c r="B612" s="184"/>
      <c r="C612" s="126"/>
      <c r="D612" s="135"/>
      <c r="E612" s="122"/>
      <c r="F612" s="122"/>
      <c r="G612" s="126"/>
      <c r="H612" s="135"/>
      <c r="I612" s="203"/>
      <c r="J612" s="182"/>
      <c r="K612" s="182"/>
      <c r="L612" s="128"/>
      <c r="M612" s="129">
        <f t="shared" si="30"/>
        <v>32570.070000000011</v>
      </c>
    </row>
    <row r="613" spans="1:13" ht="14.25" x14ac:dyDescent="0.2">
      <c r="A613" s="201"/>
      <c r="B613" s="184"/>
      <c r="C613" s="126"/>
      <c r="D613" s="135"/>
      <c r="E613" s="122"/>
      <c r="F613" s="122"/>
      <c r="G613" s="126"/>
      <c r="H613" s="135"/>
      <c r="I613" s="203"/>
      <c r="J613" s="182"/>
      <c r="K613" s="182"/>
      <c r="L613" s="128"/>
      <c r="M613" s="129">
        <f t="shared" si="30"/>
        <v>32570.070000000011</v>
      </c>
    </row>
    <row r="614" spans="1:13" ht="14.25" x14ac:dyDescent="0.2">
      <c r="A614" s="201"/>
      <c r="B614" s="184"/>
      <c r="C614" s="126"/>
      <c r="D614" s="135"/>
      <c r="E614" s="122"/>
      <c r="F614" s="122"/>
      <c r="G614" s="126"/>
      <c r="H614" s="135"/>
      <c r="I614" s="203"/>
      <c r="J614" s="182"/>
      <c r="K614" s="182">
        <f t="shared" si="31"/>
        <v>0</v>
      </c>
      <c r="L614" s="128"/>
      <c r="M614" s="129">
        <f t="shared" si="30"/>
        <v>32570.070000000011</v>
      </c>
    </row>
    <row r="615" spans="1:13" x14ac:dyDescent="0.2">
      <c r="A615" s="131"/>
      <c r="B615" s="212"/>
      <c r="C615" s="122"/>
      <c r="D615" s="122"/>
      <c r="F615" s="122"/>
      <c r="G615" s="133"/>
      <c r="H615" s="123"/>
      <c r="I615" s="127"/>
      <c r="J615" s="128"/>
      <c r="K615" s="128"/>
      <c r="L615" s="128"/>
      <c r="M615" s="129">
        <f t="shared" si="30"/>
        <v>32570.070000000011</v>
      </c>
    </row>
    <row r="616" spans="1:13" ht="15" x14ac:dyDescent="0.25">
      <c r="A616" s="533" t="s">
        <v>408</v>
      </c>
      <c r="B616" s="534"/>
      <c r="C616" s="534"/>
      <c r="D616" s="534"/>
      <c r="E616" s="534"/>
      <c r="F616" s="534"/>
      <c r="G616" s="534"/>
      <c r="H616" s="534"/>
      <c r="I616" s="534"/>
      <c r="J616" s="534"/>
      <c r="K616" s="534"/>
      <c r="L616" s="534"/>
      <c r="M616" s="129">
        <f t="shared" si="30"/>
        <v>32570.070000000011</v>
      </c>
    </row>
    <row r="617" spans="1:13" ht="15" x14ac:dyDescent="0.25">
      <c r="A617" s="213">
        <v>43392</v>
      </c>
      <c r="B617" s="263" t="s">
        <v>409</v>
      </c>
      <c r="C617" s="264"/>
      <c r="D617" s="263" t="s">
        <v>410</v>
      </c>
      <c r="E617" s="216"/>
      <c r="F617" s="216" t="s">
        <v>411</v>
      </c>
      <c r="G617" s="147" t="s">
        <v>412</v>
      </c>
      <c r="H617" s="178" t="s">
        <v>413</v>
      </c>
      <c r="I617" s="216"/>
      <c r="J617" s="216"/>
      <c r="K617" s="216"/>
      <c r="L617" s="129">
        <v>1700</v>
      </c>
      <c r="M617" s="129">
        <f t="shared" si="30"/>
        <v>30870.070000000011</v>
      </c>
    </row>
    <row r="618" spans="1:13" x14ac:dyDescent="0.2">
      <c r="A618" s="131"/>
      <c r="B618" s="253" t="s">
        <v>414</v>
      </c>
      <c r="C618" s="262"/>
      <c r="D618" s="254" t="s">
        <v>415</v>
      </c>
      <c r="E618" s="122"/>
      <c r="F618" s="122"/>
      <c r="G618" s="147"/>
      <c r="H618" s="123" t="s">
        <v>416</v>
      </c>
      <c r="I618" s="127"/>
      <c r="J618" s="128"/>
      <c r="K618" s="128"/>
      <c r="L618" s="129">
        <v>950</v>
      </c>
      <c r="M618" s="129">
        <f t="shared" si="30"/>
        <v>29920.070000000011</v>
      </c>
    </row>
    <row r="619" spans="1:13" x14ac:dyDescent="0.2">
      <c r="A619" s="185"/>
      <c r="B619" s="253" t="s">
        <v>417</v>
      </c>
      <c r="C619" s="262"/>
      <c r="D619" s="254" t="s">
        <v>418</v>
      </c>
      <c r="E619" s="122"/>
      <c r="F619" s="146"/>
      <c r="G619" s="147"/>
      <c r="H619" s="148" t="s">
        <v>419</v>
      </c>
      <c r="I619" s="127"/>
      <c r="J619" s="128"/>
      <c r="K619" s="128"/>
      <c r="L619" s="149">
        <v>850</v>
      </c>
      <c r="M619" s="129">
        <f t="shared" si="30"/>
        <v>29070.070000000011</v>
      </c>
    </row>
    <row r="620" spans="1:13" x14ac:dyDescent="0.2">
      <c r="A620" s="185">
        <v>43396</v>
      </c>
      <c r="B620" s="253" t="s">
        <v>420</v>
      </c>
      <c r="C620" s="262"/>
      <c r="D620" s="254" t="s">
        <v>421</v>
      </c>
      <c r="E620" s="122"/>
      <c r="F620" s="146" t="s">
        <v>422</v>
      </c>
      <c r="G620" s="147" t="s">
        <v>423</v>
      </c>
      <c r="H620" s="148"/>
      <c r="I620" s="127"/>
      <c r="J620" s="128" t="s">
        <v>424</v>
      </c>
      <c r="K620" s="128"/>
      <c r="L620" s="149">
        <v>1040</v>
      </c>
      <c r="M620" s="129">
        <f t="shared" si="30"/>
        <v>28030.070000000011</v>
      </c>
    </row>
    <row r="621" spans="1:13" x14ac:dyDescent="0.2">
      <c r="A621" s="131">
        <v>43396</v>
      </c>
      <c r="B621" s="525" t="s">
        <v>425</v>
      </c>
      <c r="C621" s="526"/>
      <c r="D621" s="254" t="s">
        <v>426</v>
      </c>
      <c r="E621" s="122"/>
      <c r="F621" s="146" t="s">
        <v>427</v>
      </c>
      <c r="G621" s="147" t="s">
        <v>428</v>
      </c>
      <c r="H621" s="123"/>
      <c r="I621" s="127"/>
      <c r="J621" s="128" t="s">
        <v>429</v>
      </c>
      <c r="K621" s="128"/>
      <c r="L621" s="149">
        <v>600</v>
      </c>
      <c r="M621" s="129">
        <f t="shared" si="30"/>
        <v>27430.070000000011</v>
      </c>
    </row>
    <row r="622" spans="1:13" ht="60" x14ac:dyDescent="0.25">
      <c r="A622" s="131">
        <v>43409</v>
      </c>
      <c r="B622" s="523"/>
      <c r="C622" s="524"/>
      <c r="D622" s="122"/>
      <c r="E622" s="122"/>
      <c r="F622" s="251" t="s">
        <v>337</v>
      </c>
      <c r="G622" s="252" t="s">
        <v>430</v>
      </c>
      <c r="H622" s="123"/>
      <c r="I622" s="127"/>
      <c r="J622" s="128"/>
      <c r="K622" s="128"/>
      <c r="L622" s="149">
        <v>300</v>
      </c>
      <c r="M622" s="129">
        <f t="shared" si="30"/>
        <v>27130.070000000011</v>
      </c>
    </row>
    <row r="623" spans="1:13" x14ac:dyDescent="0.2">
      <c r="A623" s="219"/>
      <c r="B623" s="261"/>
      <c r="C623" s="223"/>
      <c r="D623" s="223"/>
      <c r="E623" s="223"/>
      <c r="F623" s="223"/>
      <c r="G623" s="133"/>
      <c r="H623" s="225"/>
      <c r="I623" s="226"/>
      <c r="J623" s="227"/>
      <c r="K623" s="228"/>
      <c r="L623" s="229"/>
      <c r="M623" s="129">
        <f t="shared" si="30"/>
        <v>27130.070000000011</v>
      </c>
    </row>
    <row r="624" spans="1:13" x14ac:dyDescent="0.2">
      <c r="A624" s="131"/>
      <c r="B624" s="523"/>
      <c r="C624" s="524"/>
      <c r="D624" s="122"/>
      <c r="E624" s="122"/>
      <c r="F624" s="251"/>
      <c r="G624" s="133"/>
      <c r="H624" s="123"/>
      <c r="I624" s="127"/>
      <c r="J624" s="128"/>
      <c r="K624" s="128"/>
      <c r="L624" s="149"/>
      <c r="M624" s="129">
        <f t="shared" si="30"/>
        <v>27130.070000000011</v>
      </c>
    </row>
    <row r="625" spans="1:13" x14ac:dyDescent="0.2">
      <c r="A625" s="131"/>
      <c r="B625" s="132"/>
      <c r="C625" s="122"/>
      <c r="D625" s="122"/>
      <c r="E625" s="122"/>
      <c r="F625" s="122"/>
      <c r="G625" s="133"/>
      <c r="H625" s="123"/>
      <c r="I625" s="127"/>
      <c r="J625" s="128"/>
      <c r="K625" s="128"/>
      <c r="L625" s="149"/>
      <c r="M625" s="129">
        <f t="shared" si="30"/>
        <v>27130.070000000011</v>
      </c>
    </row>
    <row r="626" spans="1:13" ht="15" x14ac:dyDescent="0.25">
      <c r="A626" s="131"/>
      <c r="B626" s="523"/>
      <c r="C626" s="524"/>
      <c r="D626" s="122"/>
      <c r="E626" s="122"/>
      <c r="F626" s="251"/>
      <c r="G626" s="252"/>
      <c r="H626" s="123"/>
      <c r="I626" s="127"/>
      <c r="J626" s="128"/>
      <c r="K626" s="128"/>
      <c r="L626" s="149"/>
      <c r="M626" s="129">
        <f t="shared" si="30"/>
        <v>27130.070000000011</v>
      </c>
    </row>
    <row r="627" spans="1:13" x14ac:dyDescent="0.2">
      <c r="A627" s="230"/>
      <c r="B627" s="231"/>
      <c r="C627" s="232"/>
      <c r="D627" s="232"/>
      <c r="E627" s="232"/>
      <c r="F627" s="232"/>
      <c r="G627" s="133"/>
      <c r="H627" s="123"/>
      <c r="I627" s="127"/>
      <c r="J627" s="128"/>
      <c r="K627" s="128"/>
      <c r="L627" s="149"/>
      <c r="M627" s="129"/>
    </row>
    <row r="628" spans="1:13" ht="13.5" thickBot="1" x14ac:dyDescent="0.25">
      <c r="A628" s="238"/>
      <c r="B628" s="239"/>
      <c r="C628" s="240"/>
      <c r="D628" s="240"/>
      <c r="E628" s="241"/>
      <c r="F628" s="242"/>
      <c r="G628" s="243"/>
      <c r="H628" s="244" t="s">
        <v>250</v>
      </c>
      <c r="I628" s="161">
        <f>SUM(I572:I622)</f>
        <v>17102</v>
      </c>
      <c r="J628" s="245">
        <f>SUM(J572:J622)</f>
        <v>5472.64</v>
      </c>
      <c r="K628" s="246">
        <f>SUM(K572:K614)</f>
        <v>11629.359999999999</v>
      </c>
      <c r="L628" s="247">
        <f>SUM(L617:L626)</f>
        <v>5440</v>
      </c>
      <c r="M628" s="248"/>
    </row>
    <row r="629" spans="1:13" ht="13.5" thickBot="1" x14ac:dyDescent="0.25">
      <c r="A629" s="166"/>
      <c r="C629" s="168"/>
      <c r="D629" s="168"/>
      <c r="E629" s="169"/>
      <c r="F629" s="170"/>
      <c r="G629" s="171"/>
      <c r="H629" s="160" t="s">
        <v>13</v>
      </c>
      <c r="I629" s="172"/>
      <c r="J629" s="173"/>
      <c r="K629" s="174"/>
      <c r="L629" s="174"/>
      <c r="M629" s="175">
        <f>+K628-L628+M571</f>
        <v>27130.070000000022</v>
      </c>
    </row>
    <row r="630" spans="1:13" x14ac:dyDescent="0.2">
      <c r="A630" s="166"/>
      <c r="C630" s="168"/>
      <c r="D630" s="168"/>
      <c r="E630" s="169"/>
      <c r="F630" s="170"/>
      <c r="G630" s="171"/>
      <c r="H630" s="171"/>
      <c r="I630" s="189"/>
      <c r="J630" s="188"/>
      <c r="K630" s="180"/>
      <c r="L630" s="180"/>
      <c r="M630" s="189"/>
    </row>
    <row r="631" spans="1:13" x14ac:dyDescent="0.2">
      <c r="A631" s="527" t="s">
        <v>95</v>
      </c>
      <c r="B631" s="528"/>
      <c r="C631" s="528"/>
      <c r="D631" s="528"/>
      <c r="E631" s="528"/>
      <c r="F631" s="528"/>
      <c r="G631" s="528"/>
      <c r="H631" s="528"/>
      <c r="I631" s="528"/>
      <c r="J631" s="528"/>
      <c r="K631" s="528"/>
      <c r="L631" s="528"/>
      <c r="M631" s="529"/>
    </row>
    <row r="632" spans="1:13" x14ac:dyDescent="0.2">
      <c r="A632" s="530"/>
      <c r="B632" s="531"/>
      <c r="C632" s="531"/>
      <c r="D632" s="531"/>
      <c r="E632" s="531"/>
      <c r="F632" s="531"/>
      <c r="G632" s="531"/>
      <c r="H632" s="531"/>
      <c r="I632" s="531"/>
      <c r="J632" s="531"/>
      <c r="K632" s="531"/>
      <c r="L632" s="531"/>
      <c r="M632" s="532"/>
    </row>
    <row r="633" spans="1:13" ht="15" x14ac:dyDescent="0.25">
      <c r="A633" s="533" t="s">
        <v>431</v>
      </c>
      <c r="B633" s="534"/>
      <c r="C633" s="534"/>
      <c r="D633" s="534"/>
      <c r="E633" s="534"/>
      <c r="F633" s="534"/>
      <c r="G633" s="534"/>
      <c r="H633" s="534"/>
      <c r="I633" s="534"/>
      <c r="J633" s="534"/>
      <c r="K633" s="534"/>
      <c r="L633" s="534"/>
      <c r="M633" s="534"/>
    </row>
    <row r="634" spans="1:13" x14ac:dyDescent="0.2">
      <c r="A634" s="115" t="s">
        <v>1</v>
      </c>
      <c r="B634" s="116" t="s">
        <v>2</v>
      </c>
      <c r="C634" s="117" t="s">
        <v>3</v>
      </c>
      <c r="D634" s="117" t="s">
        <v>4</v>
      </c>
      <c r="E634" s="117" t="s">
        <v>96</v>
      </c>
      <c r="F634" s="117" t="s">
        <v>5</v>
      </c>
      <c r="G634" s="118" t="s">
        <v>97</v>
      </c>
      <c r="H634" s="118" t="s">
        <v>6</v>
      </c>
      <c r="I634" s="117" t="s">
        <v>7</v>
      </c>
      <c r="J634" s="117" t="s">
        <v>8</v>
      </c>
      <c r="K634" s="117" t="s">
        <v>9</v>
      </c>
      <c r="L634" s="119" t="s">
        <v>10</v>
      </c>
      <c r="M634" s="117" t="s">
        <v>11</v>
      </c>
    </row>
    <row r="635" spans="1:13" x14ac:dyDescent="0.2">
      <c r="A635" s="120"/>
      <c r="B635" s="121"/>
      <c r="C635" s="122"/>
      <c r="D635" s="122"/>
      <c r="E635" s="122"/>
      <c r="F635" s="122"/>
      <c r="G635" s="101"/>
      <c r="H635" s="123"/>
      <c r="I635" s="124"/>
      <c r="J635" s="125"/>
      <c r="K635" s="125"/>
      <c r="L635" s="125"/>
      <c r="M635" s="124">
        <f>M629</f>
        <v>27130.070000000022</v>
      </c>
    </row>
    <row r="636" spans="1:13" ht="14.25" x14ac:dyDescent="0.2">
      <c r="A636" s="201">
        <v>43406</v>
      </c>
      <c r="B636" s="184" t="s">
        <v>432</v>
      </c>
      <c r="C636" s="126"/>
      <c r="D636" s="122"/>
      <c r="E636" s="122"/>
      <c r="F636" s="122"/>
      <c r="G636" s="126" t="s">
        <v>433</v>
      </c>
      <c r="H636" s="122"/>
      <c r="I636" s="190">
        <v>164</v>
      </c>
      <c r="J636" s="182">
        <f>+I636*0.32</f>
        <v>52.480000000000004</v>
      </c>
      <c r="K636" s="182">
        <f>+I636*0.68</f>
        <v>111.52000000000001</v>
      </c>
      <c r="L636" s="128"/>
      <c r="M636" s="129">
        <f>+K636-L636+M635</f>
        <v>27241.590000000022</v>
      </c>
    </row>
    <row r="637" spans="1:13" ht="14.25" x14ac:dyDescent="0.2">
      <c r="A637" s="201">
        <v>43407</v>
      </c>
      <c r="B637" s="184" t="s">
        <v>432</v>
      </c>
      <c r="C637" s="126"/>
      <c r="D637" s="122"/>
      <c r="E637" s="122"/>
      <c r="F637" s="122"/>
      <c r="G637" s="126" t="s">
        <v>433</v>
      </c>
      <c r="H637" s="122"/>
      <c r="I637" s="190">
        <v>208</v>
      </c>
      <c r="J637" s="182">
        <f t="shared" ref="J637:J666" si="32">+I637*0.32</f>
        <v>66.56</v>
      </c>
      <c r="K637" s="182">
        <f>+I637*0.68</f>
        <v>141.44</v>
      </c>
      <c r="L637" s="128"/>
      <c r="M637" s="129">
        <f t="shared" ref="M637:M687" si="33">+K637-L637+M636</f>
        <v>27383.030000000021</v>
      </c>
    </row>
    <row r="638" spans="1:13" ht="14.25" x14ac:dyDescent="0.2">
      <c r="A638" s="201">
        <v>43409</v>
      </c>
      <c r="B638" s="184" t="s">
        <v>432</v>
      </c>
      <c r="C638" s="126"/>
      <c r="D638" s="122"/>
      <c r="E638" s="183"/>
      <c r="F638" s="183"/>
      <c r="G638" s="126" t="s">
        <v>433</v>
      </c>
      <c r="H638" s="122"/>
      <c r="I638" s="190">
        <v>308</v>
      </c>
      <c r="J638" s="182">
        <f t="shared" si="32"/>
        <v>98.56</v>
      </c>
      <c r="K638" s="182">
        <f t="shared" ref="K638:K672" si="34">+I638*0.68</f>
        <v>209.44000000000003</v>
      </c>
      <c r="L638" s="128"/>
      <c r="M638" s="129">
        <f t="shared" si="33"/>
        <v>27592.470000000019</v>
      </c>
    </row>
    <row r="639" spans="1:13" ht="14.25" x14ac:dyDescent="0.2">
      <c r="A639" s="201">
        <v>43411</v>
      </c>
      <c r="B639" s="184" t="s">
        <v>432</v>
      </c>
      <c r="C639" s="126"/>
      <c r="D639" s="122"/>
      <c r="E639" s="122"/>
      <c r="F639" s="122"/>
      <c r="G639" s="126" t="s">
        <v>433</v>
      </c>
      <c r="H639" s="122"/>
      <c r="I639" s="190">
        <v>164</v>
      </c>
      <c r="J639" s="182">
        <f t="shared" si="32"/>
        <v>52.480000000000004</v>
      </c>
      <c r="K639" s="182">
        <f t="shared" si="34"/>
        <v>111.52000000000001</v>
      </c>
      <c r="L639" s="128"/>
      <c r="M639" s="129">
        <f t="shared" si="33"/>
        <v>27703.99000000002</v>
      </c>
    </row>
    <row r="640" spans="1:13" ht="14.25" x14ac:dyDescent="0.2">
      <c r="A640" s="201">
        <v>43413</v>
      </c>
      <c r="B640" s="184" t="s">
        <v>432</v>
      </c>
      <c r="C640" s="126"/>
      <c r="D640" s="122"/>
      <c r="E640" s="122"/>
      <c r="F640" s="122"/>
      <c r="G640" s="126" t="s">
        <v>433</v>
      </c>
      <c r="H640" s="122"/>
      <c r="I640" s="190">
        <v>244</v>
      </c>
      <c r="J640" s="182">
        <f t="shared" si="32"/>
        <v>78.08</v>
      </c>
      <c r="K640" s="182">
        <f t="shared" si="34"/>
        <v>165.92000000000002</v>
      </c>
      <c r="L640" s="128"/>
      <c r="M640" s="129">
        <f t="shared" si="33"/>
        <v>27869.910000000018</v>
      </c>
    </row>
    <row r="641" spans="1:13" ht="14.25" x14ac:dyDescent="0.2">
      <c r="A641" s="201">
        <v>43416</v>
      </c>
      <c r="B641" s="184" t="s">
        <v>432</v>
      </c>
      <c r="C641" s="126"/>
      <c r="D641" s="122"/>
      <c r="E641" s="122"/>
      <c r="F641" s="122"/>
      <c r="G641" s="126" t="s">
        <v>433</v>
      </c>
      <c r="H641" s="122"/>
      <c r="I641" s="203">
        <v>1068</v>
      </c>
      <c r="J641" s="182">
        <f t="shared" si="32"/>
        <v>341.76</v>
      </c>
      <c r="K641" s="182">
        <f t="shared" si="34"/>
        <v>726.24</v>
      </c>
      <c r="L641" s="128"/>
      <c r="M641" s="129">
        <f t="shared" si="33"/>
        <v>28596.15000000002</v>
      </c>
    </row>
    <row r="642" spans="1:13" ht="14.25" x14ac:dyDescent="0.2">
      <c r="A642" s="201">
        <v>43417</v>
      </c>
      <c r="B642" s="184" t="s">
        <v>432</v>
      </c>
      <c r="C642" s="126"/>
      <c r="D642" s="122"/>
      <c r="E642" s="122"/>
      <c r="F642" s="122"/>
      <c r="G642" s="126" t="s">
        <v>433</v>
      </c>
      <c r="H642" s="122"/>
      <c r="I642" s="203">
        <v>164</v>
      </c>
      <c r="J642" s="182">
        <f t="shared" si="32"/>
        <v>52.480000000000004</v>
      </c>
      <c r="K642" s="182">
        <f t="shared" si="34"/>
        <v>111.52000000000001</v>
      </c>
      <c r="L642" s="128"/>
      <c r="M642" s="129">
        <f t="shared" si="33"/>
        <v>28707.67000000002</v>
      </c>
    </row>
    <row r="643" spans="1:13" ht="14.25" x14ac:dyDescent="0.2">
      <c r="A643" s="201">
        <v>43418</v>
      </c>
      <c r="B643" s="184"/>
      <c r="C643" s="126"/>
      <c r="D643" s="122"/>
      <c r="E643" s="122"/>
      <c r="F643" s="122"/>
      <c r="G643" s="126" t="s">
        <v>434</v>
      </c>
      <c r="H643" s="122"/>
      <c r="I643" s="203">
        <v>452</v>
      </c>
      <c r="J643" s="182">
        <f t="shared" si="32"/>
        <v>144.64000000000001</v>
      </c>
      <c r="K643" s="182">
        <f t="shared" si="34"/>
        <v>307.36</v>
      </c>
      <c r="L643" s="128"/>
      <c r="M643" s="129">
        <f t="shared" si="33"/>
        <v>29015.030000000021</v>
      </c>
    </row>
    <row r="644" spans="1:13" ht="14.25" x14ac:dyDescent="0.2">
      <c r="A644" s="201">
        <v>43420</v>
      </c>
      <c r="B644" s="184"/>
      <c r="C644" s="126"/>
      <c r="D644" s="122"/>
      <c r="E644" s="122"/>
      <c r="F644" s="122"/>
      <c r="G644" s="126" t="s">
        <v>434</v>
      </c>
      <c r="H644" s="122"/>
      <c r="I644" s="203">
        <v>190</v>
      </c>
      <c r="J644" s="182">
        <f t="shared" si="32"/>
        <v>60.800000000000004</v>
      </c>
      <c r="K644" s="182">
        <f t="shared" si="34"/>
        <v>129.20000000000002</v>
      </c>
      <c r="L644" s="128"/>
      <c r="M644" s="129">
        <f t="shared" si="33"/>
        <v>29144.230000000021</v>
      </c>
    </row>
    <row r="645" spans="1:13" ht="14.25" x14ac:dyDescent="0.2">
      <c r="A645" s="201">
        <v>43423</v>
      </c>
      <c r="B645" s="184"/>
      <c r="C645" s="126"/>
      <c r="D645" s="122"/>
      <c r="E645" s="122"/>
      <c r="F645" s="122"/>
      <c r="G645" s="126" t="s">
        <v>434</v>
      </c>
      <c r="H645" s="122"/>
      <c r="I645" s="203">
        <v>576</v>
      </c>
      <c r="J645" s="182">
        <f t="shared" si="32"/>
        <v>184.32</v>
      </c>
      <c r="K645" s="182">
        <f t="shared" si="34"/>
        <v>391.68</v>
      </c>
      <c r="L645" s="128"/>
      <c r="M645" s="129">
        <f t="shared" si="33"/>
        <v>29535.910000000022</v>
      </c>
    </row>
    <row r="646" spans="1:13" ht="14.25" x14ac:dyDescent="0.2">
      <c r="A646" s="201">
        <v>43424</v>
      </c>
      <c r="B646" s="184"/>
      <c r="C646" s="126"/>
      <c r="D646" s="135"/>
      <c r="E646" s="122"/>
      <c r="F646" s="122"/>
      <c r="G646" s="126" t="s">
        <v>434</v>
      </c>
      <c r="H646" s="135"/>
      <c r="I646" s="203">
        <v>144</v>
      </c>
      <c r="J646" s="182">
        <f t="shared" si="32"/>
        <v>46.08</v>
      </c>
      <c r="K646" s="182">
        <f t="shared" si="34"/>
        <v>97.92</v>
      </c>
      <c r="L646" s="128"/>
      <c r="M646" s="129">
        <f t="shared" si="33"/>
        <v>29633.83000000002</v>
      </c>
    </row>
    <row r="647" spans="1:13" ht="14.25" x14ac:dyDescent="0.2">
      <c r="A647" s="201">
        <v>43427</v>
      </c>
      <c r="B647" s="184"/>
      <c r="C647" s="126"/>
      <c r="D647" s="135"/>
      <c r="E647" s="122"/>
      <c r="F647" s="122"/>
      <c r="G647" s="126" t="s">
        <v>434</v>
      </c>
      <c r="H647" s="135"/>
      <c r="I647" s="203">
        <v>308</v>
      </c>
      <c r="J647" s="182">
        <f t="shared" si="32"/>
        <v>98.56</v>
      </c>
      <c r="K647" s="182">
        <f t="shared" si="34"/>
        <v>209.44000000000003</v>
      </c>
      <c r="L647" s="128"/>
      <c r="M647" s="129">
        <f t="shared" si="33"/>
        <v>29843.270000000019</v>
      </c>
    </row>
    <row r="648" spans="1:13" ht="14.25" x14ac:dyDescent="0.2">
      <c r="A648" s="201">
        <v>43428</v>
      </c>
      <c r="B648" s="184"/>
      <c r="C648" s="126"/>
      <c r="D648" s="135"/>
      <c r="E648" s="122"/>
      <c r="F648" s="122"/>
      <c r="G648" s="126" t="s">
        <v>434</v>
      </c>
      <c r="H648" s="135"/>
      <c r="I648" s="203">
        <v>308</v>
      </c>
      <c r="J648" s="182">
        <f t="shared" si="32"/>
        <v>98.56</v>
      </c>
      <c r="K648" s="182">
        <f t="shared" si="34"/>
        <v>209.44000000000003</v>
      </c>
      <c r="L648" s="128"/>
      <c r="M648" s="129">
        <f t="shared" si="33"/>
        <v>30052.710000000017</v>
      </c>
    </row>
    <row r="649" spans="1:13" ht="14.25" x14ac:dyDescent="0.2">
      <c r="A649" s="201">
        <v>43774</v>
      </c>
      <c r="B649" s="184"/>
      <c r="C649" s="126"/>
      <c r="D649" s="135"/>
      <c r="E649" s="122"/>
      <c r="F649" s="122"/>
      <c r="G649" s="126"/>
      <c r="H649" s="135"/>
      <c r="I649" s="203">
        <v>800</v>
      </c>
      <c r="J649" s="182">
        <f t="shared" si="32"/>
        <v>256</v>
      </c>
      <c r="K649" s="182">
        <f t="shared" si="34"/>
        <v>544</v>
      </c>
      <c r="L649" s="128"/>
      <c r="M649" s="129">
        <f t="shared" si="33"/>
        <v>30596.710000000017</v>
      </c>
    </row>
    <row r="650" spans="1:13" ht="14.25" x14ac:dyDescent="0.2">
      <c r="A650" s="201">
        <v>43776</v>
      </c>
      <c r="B650" s="184"/>
      <c r="C650" s="126"/>
      <c r="D650" s="135"/>
      <c r="E650" s="122"/>
      <c r="F650" s="122"/>
      <c r="G650" s="126"/>
      <c r="H650" s="135"/>
      <c r="I650" s="203">
        <v>558</v>
      </c>
      <c r="J650" s="182">
        <f t="shared" si="32"/>
        <v>178.56</v>
      </c>
      <c r="K650" s="182">
        <f t="shared" si="34"/>
        <v>379.44000000000005</v>
      </c>
      <c r="L650" s="128"/>
      <c r="M650" s="129">
        <f t="shared" si="33"/>
        <v>30976.150000000016</v>
      </c>
    </row>
    <row r="651" spans="1:13" ht="14.25" x14ac:dyDescent="0.2">
      <c r="A651" s="201">
        <v>43777</v>
      </c>
      <c r="B651" s="184"/>
      <c r="C651" s="126"/>
      <c r="D651" s="135"/>
      <c r="E651" s="122"/>
      <c r="F651" s="122"/>
      <c r="G651" s="126"/>
      <c r="H651" s="135"/>
      <c r="I651" s="203">
        <v>108</v>
      </c>
      <c r="J651" s="182">
        <f t="shared" si="32"/>
        <v>34.56</v>
      </c>
      <c r="K651" s="182">
        <f t="shared" si="34"/>
        <v>73.440000000000012</v>
      </c>
      <c r="L651" s="128"/>
      <c r="M651" s="129">
        <f t="shared" si="33"/>
        <v>31049.590000000015</v>
      </c>
    </row>
    <row r="652" spans="1:13" ht="14.25" x14ac:dyDescent="0.2">
      <c r="A652" s="201">
        <v>43778</v>
      </c>
      <c r="B652" s="184"/>
      <c r="C652" s="126"/>
      <c r="D652" s="135"/>
      <c r="E652" s="122"/>
      <c r="F652" s="122"/>
      <c r="G652" s="126"/>
      <c r="H652" s="135"/>
      <c r="I652" s="203">
        <v>840</v>
      </c>
      <c r="J652" s="182">
        <f t="shared" si="32"/>
        <v>268.8</v>
      </c>
      <c r="K652" s="182">
        <f t="shared" si="34"/>
        <v>571.20000000000005</v>
      </c>
      <c r="L652" s="128"/>
      <c r="M652" s="129">
        <f t="shared" si="33"/>
        <v>31620.790000000015</v>
      </c>
    </row>
    <row r="653" spans="1:13" ht="14.25" x14ac:dyDescent="0.2">
      <c r="A653" s="201">
        <v>43781</v>
      </c>
      <c r="B653" s="184"/>
      <c r="C653" s="126"/>
      <c r="D653" s="135"/>
      <c r="E653" s="122"/>
      <c r="F653" s="122"/>
      <c r="G653" s="126"/>
      <c r="H653" s="135"/>
      <c r="I653" s="203">
        <v>608</v>
      </c>
      <c r="J653" s="182">
        <f t="shared" si="32"/>
        <v>194.56</v>
      </c>
      <c r="K653" s="182">
        <f t="shared" si="34"/>
        <v>413.44000000000005</v>
      </c>
      <c r="L653" s="128"/>
      <c r="M653" s="129">
        <f t="shared" si="33"/>
        <v>32034.230000000014</v>
      </c>
    </row>
    <row r="654" spans="1:13" ht="14.25" x14ac:dyDescent="0.2">
      <c r="A654" s="201">
        <v>43782</v>
      </c>
      <c r="B654" s="184"/>
      <c r="C654" s="126"/>
      <c r="D654" s="135"/>
      <c r="E654" s="122"/>
      <c r="F654" s="122"/>
      <c r="G654" s="126"/>
      <c r="H654" s="135"/>
      <c r="I654" s="203">
        <v>930</v>
      </c>
      <c r="J654" s="182">
        <f t="shared" si="32"/>
        <v>297.60000000000002</v>
      </c>
      <c r="K654" s="182">
        <f t="shared" si="34"/>
        <v>632.40000000000009</v>
      </c>
      <c r="L654" s="128"/>
      <c r="M654" s="129">
        <f t="shared" si="33"/>
        <v>32666.630000000016</v>
      </c>
    </row>
    <row r="655" spans="1:13" ht="14.25" x14ac:dyDescent="0.2">
      <c r="A655" s="201">
        <v>43783</v>
      </c>
      <c r="B655" s="184"/>
      <c r="C655" s="126"/>
      <c r="D655" s="135"/>
      <c r="E655" s="122"/>
      <c r="F655" s="122"/>
      <c r="G655" s="126"/>
      <c r="H655" s="135"/>
      <c r="I655" s="203">
        <v>596</v>
      </c>
      <c r="J655" s="182">
        <f t="shared" si="32"/>
        <v>190.72</v>
      </c>
      <c r="K655" s="182">
        <f t="shared" si="34"/>
        <v>405.28000000000003</v>
      </c>
      <c r="L655" s="128"/>
      <c r="M655" s="129">
        <f t="shared" si="33"/>
        <v>33071.910000000018</v>
      </c>
    </row>
    <row r="656" spans="1:13" ht="14.25" x14ac:dyDescent="0.2">
      <c r="A656" s="201">
        <v>43784</v>
      </c>
      <c r="B656" s="184"/>
      <c r="C656" s="126"/>
      <c r="D656" s="135"/>
      <c r="E656" s="122"/>
      <c r="F656" s="122"/>
      <c r="G656" s="126"/>
      <c r="H656" s="135"/>
      <c r="I656" s="203">
        <v>630</v>
      </c>
      <c r="J656" s="182">
        <f t="shared" si="32"/>
        <v>201.6</v>
      </c>
      <c r="K656" s="182">
        <f t="shared" si="34"/>
        <v>428.40000000000003</v>
      </c>
      <c r="L656" s="128"/>
      <c r="M656" s="129">
        <f t="shared" si="33"/>
        <v>33500.310000000019</v>
      </c>
    </row>
    <row r="657" spans="1:13" ht="14.25" x14ac:dyDescent="0.2">
      <c r="A657" s="201">
        <v>43785</v>
      </c>
      <c r="B657" s="184"/>
      <c r="C657" s="126"/>
      <c r="D657" s="135"/>
      <c r="E657" s="122"/>
      <c r="F657" s="122"/>
      <c r="G657" s="126"/>
      <c r="H657" s="135"/>
      <c r="I657" s="203">
        <v>308</v>
      </c>
      <c r="J657" s="182">
        <f t="shared" si="32"/>
        <v>98.56</v>
      </c>
      <c r="K657" s="182">
        <f t="shared" si="34"/>
        <v>209.44000000000003</v>
      </c>
      <c r="L657" s="128"/>
      <c r="M657" s="129">
        <f t="shared" si="33"/>
        <v>33709.750000000022</v>
      </c>
    </row>
    <row r="658" spans="1:13" ht="14.25" x14ac:dyDescent="0.2">
      <c r="A658" s="201">
        <v>43788</v>
      </c>
      <c r="B658" s="184"/>
      <c r="C658" s="126"/>
      <c r="D658" s="135"/>
      <c r="E658" s="122"/>
      <c r="F658" s="122"/>
      <c r="G658" s="126"/>
      <c r="H658" s="135"/>
      <c r="I658" s="203">
        <v>800</v>
      </c>
      <c r="J658" s="182">
        <f t="shared" si="32"/>
        <v>256</v>
      </c>
      <c r="K658" s="182">
        <f t="shared" si="34"/>
        <v>544</v>
      </c>
      <c r="L658" s="128"/>
      <c r="M658" s="129">
        <f t="shared" si="33"/>
        <v>34253.750000000022</v>
      </c>
    </row>
    <row r="659" spans="1:13" ht="14.25" x14ac:dyDescent="0.2">
      <c r="A659" s="201">
        <v>43789</v>
      </c>
      <c r="B659" s="184"/>
      <c r="C659" s="126"/>
      <c r="D659" s="135"/>
      <c r="E659" s="122"/>
      <c r="F659" s="122"/>
      <c r="G659" s="126"/>
      <c r="H659" s="135"/>
      <c r="I659" s="203">
        <v>1049.9000000000001</v>
      </c>
      <c r="J659" s="182">
        <f t="shared" si="32"/>
        <v>335.96800000000002</v>
      </c>
      <c r="K659" s="182">
        <f t="shared" si="34"/>
        <v>713.93200000000013</v>
      </c>
      <c r="L659" s="128"/>
      <c r="M659" s="129">
        <f t="shared" si="33"/>
        <v>34967.682000000023</v>
      </c>
    </row>
    <row r="660" spans="1:13" ht="14.25" x14ac:dyDescent="0.2">
      <c r="A660" s="201">
        <v>43790</v>
      </c>
      <c r="B660" s="184"/>
      <c r="C660" s="126"/>
      <c r="D660" s="135"/>
      <c r="E660" s="122"/>
      <c r="F660" s="122"/>
      <c r="G660" s="126"/>
      <c r="H660" s="135"/>
      <c r="I660" s="203">
        <v>616</v>
      </c>
      <c r="J660" s="182">
        <f t="shared" si="32"/>
        <v>197.12</v>
      </c>
      <c r="K660" s="182">
        <f t="shared" si="34"/>
        <v>418.88000000000005</v>
      </c>
      <c r="L660" s="128"/>
      <c r="M660" s="129">
        <f t="shared" si="33"/>
        <v>35386.56200000002</v>
      </c>
    </row>
    <row r="661" spans="1:13" ht="14.25" x14ac:dyDescent="0.2">
      <c r="A661" s="201">
        <v>43792</v>
      </c>
      <c r="B661" s="184"/>
      <c r="C661" s="126"/>
      <c r="D661" s="135"/>
      <c r="E661" s="122"/>
      <c r="F661" s="122"/>
      <c r="G661" s="126"/>
      <c r="H661" s="135"/>
      <c r="I661" s="203">
        <v>20</v>
      </c>
      <c r="J661" s="182">
        <f t="shared" si="32"/>
        <v>6.4</v>
      </c>
      <c r="K661" s="182">
        <f t="shared" si="34"/>
        <v>13.600000000000001</v>
      </c>
      <c r="L661" s="128"/>
      <c r="M661" s="129">
        <f t="shared" si="33"/>
        <v>35400.162000000018</v>
      </c>
    </row>
    <row r="662" spans="1:13" ht="14.25" x14ac:dyDescent="0.2">
      <c r="A662" s="201">
        <v>43795</v>
      </c>
      <c r="B662" s="184"/>
      <c r="C662" s="126"/>
      <c r="D662" s="135"/>
      <c r="E662" s="122"/>
      <c r="F662" s="122"/>
      <c r="G662" s="126"/>
      <c r="H662" s="135"/>
      <c r="I662" s="203">
        <v>944</v>
      </c>
      <c r="J662" s="182">
        <f t="shared" si="32"/>
        <v>302.08</v>
      </c>
      <c r="K662" s="182">
        <f t="shared" si="34"/>
        <v>641.92000000000007</v>
      </c>
      <c r="L662" s="128"/>
      <c r="M662" s="129">
        <f t="shared" si="33"/>
        <v>36042.082000000017</v>
      </c>
    </row>
    <row r="663" spans="1:13" ht="14.25" x14ac:dyDescent="0.2">
      <c r="A663" s="201">
        <v>43796</v>
      </c>
      <c r="B663" s="184"/>
      <c r="C663" s="126"/>
      <c r="D663" s="135"/>
      <c r="E663" s="122"/>
      <c r="F663" s="122"/>
      <c r="G663" s="126"/>
      <c r="H663" s="135"/>
      <c r="I663" s="203">
        <v>816</v>
      </c>
      <c r="J663" s="182">
        <f t="shared" si="32"/>
        <v>261.12</v>
      </c>
      <c r="K663" s="182">
        <f t="shared" si="34"/>
        <v>554.88</v>
      </c>
      <c r="L663" s="128"/>
      <c r="M663" s="129">
        <f t="shared" si="33"/>
        <v>36596.962000000014</v>
      </c>
    </row>
    <row r="664" spans="1:13" ht="14.25" x14ac:dyDescent="0.2">
      <c r="A664" s="201">
        <v>43797</v>
      </c>
      <c r="B664" s="184"/>
      <c r="C664" s="126"/>
      <c r="D664" s="135"/>
      <c r="E664" s="122"/>
      <c r="F664" s="122"/>
      <c r="G664" s="126"/>
      <c r="H664" s="135"/>
      <c r="I664" s="203">
        <v>318</v>
      </c>
      <c r="J664" s="182">
        <f t="shared" si="32"/>
        <v>101.76</v>
      </c>
      <c r="K664" s="182">
        <f t="shared" si="34"/>
        <v>216.24</v>
      </c>
      <c r="L664" s="128"/>
      <c r="M664" s="129">
        <f t="shared" si="33"/>
        <v>36813.202000000012</v>
      </c>
    </row>
    <row r="665" spans="1:13" ht="14.25" x14ac:dyDescent="0.2">
      <c r="A665" s="201">
        <v>43798</v>
      </c>
      <c r="B665" s="184"/>
      <c r="C665" s="126"/>
      <c r="D665" s="135"/>
      <c r="E665" s="122"/>
      <c r="F665" s="122"/>
      <c r="G665" s="126"/>
      <c r="H665" s="135"/>
      <c r="I665" s="203">
        <v>452</v>
      </c>
      <c r="J665" s="182">
        <f t="shared" si="32"/>
        <v>144.64000000000001</v>
      </c>
      <c r="K665" s="182">
        <f t="shared" si="34"/>
        <v>307.36</v>
      </c>
      <c r="L665" s="128"/>
      <c r="M665" s="129">
        <f t="shared" si="33"/>
        <v>37120.562000000013</v>
      </c>
    </row>
    <row r="666" spans="1:13" ht="14.25" x14ac:dyDescent="0.2">
      <c r="A666" s="201">
        <v>43799</v>
      </c>
      <c r="B666" s="184"/>
      <c r="C666" s="126"/>
      <c r="D666" s="135"/>
      <c r="E666" s="122"/>
      <c r="F666" s="122"/>
      <c r="G666" s="126"/>
      <c r="H666" s="135"/>
      <c r="I666" s="203">
        <v>168</v>
      </c>
      <c r="J666" s="182">
        <f t="shared" si="32"/>
        <v>53.76</v>
      </c>
      <c r="K666" s="182">
        <f t="shared" si="34"/>
        <v>114.24000000000001</v>
      </c>
      <c r="L666" s="128"/>
      <c r="M666" s="129">
        <f t="shared" si="33"/>
        <v>37234.802000000011</v>
      </c>
    </row>
    <row r="667" spans="1:13" ht="14.25" x14ac:dyDescent="0.2">
      <c r="A667" s="201"/>
      <c r="B667" s="184"/>
      <c r="C667" s="126"/>
      <c r="D667" s="135"/>
      <c r="E667" s="122"/>
      <c r="F667" s="122"/>
      <c r="G667" s="126"/>
      <c r="H667" s="135"/>
      <c r="I667" s="203"/>
      <c r="J667" s="182"/>
      <c r="K667" s="182"/>
      <c r="L667" s="128"/>
      <c r="M667" s="129">
        <f t="shared" si="33"/>
        <v>37234.802000000011</v>
      </c>
    </row>
    <row r="668" spans="1:13" ht="14.25" x14ac:dyDescent="0.2">
      <c r="A668" s="201"/>
      <c r="B668" s="184"/>
      <c r="C668" s="126"/>
      <c r="D668" s="135"/>
      <c r="E668" s="122"/>
      <c r="F668" s="122"/>
      <c r="G668" s="126"/>
      <c r="H668" s="135"/>
      <c r="I668" s="203"/>
      <c r="J668" s="182"/>
      <c r="K668" s="182">
        <f t="shared" si="34"/>
        <v>0</v>
      </c>
      <c r="L668" s="128"/>
      <c r="M668" s="129">
        <f t="shared" si="33"/>
        <v>37234.802000000011</v>
      </c>
    </row>
    <row r="669" spans="1:13" ht="14.25" x14ac:dyDescent="0.2">
      <c r="A669" s="201"/>
      <c r="B669" s="184"/>
      <c r="C669" s="126"/>
      <c r="D669" s="135"/>
      <c r="E669" s="122"/>
      <c r="F669" s="122"/>
      <c r="G669" s="126"/>
      <c r="H669" s="135"/>
      <c r="I669" s="203"/>
      <c r="J669" s="182"/>
      <c r="K669" s="182">
        <f t="shared" si="34"/>
        <v>0</v>
      </c>
      <c r="L669" s="128"/>
      <c r="M669" s="129">
        <f t="shared" si="33"/>
        <v>37234.802000000011</v>
      </c>
    </row>
    <row r="670" spans="1:13" ht="14.25" x14ac:dyDescent="0.2">
      <c r="A670" s="201"/>
      <c r="B670" s="184"/>
      <c r="C670" s="126"/>
      <c r="D670" s="135"/>
      <c r="E670" s="122"/>
      <c r="F670" s="122"/>
      <c r="G670" s="126"/>
      <c r="H670" s="135"/>
      <c r="I670" s="203"/>
      <c r="J670" s="182"/>
      <c r="K670" s="182">
        <f t="shared" si="34"/>
        <v>0</v>
      </c>
      <c r="L670" s="128"/>
      <c r="M670" s="129">
        <f t="shared" si="33"/>
        <v>37234.802000000011</v>
      </c>
    </row>
    <row r="671" spans="1:13" ht="14.25" x14ac:dyDescent="0.2">
      <c r="A671" s="201"/>
      <c r="B671" s="184"/>
      <c r="C671" s="126"/>
      <c r="D671" s="135"/>
      <c r="E671" s="122"/>
      <c r="F671" s="122"/>
      <c r="G671" s="126"/>
      <c r="H671" s="135"/>
      <c r="I671" s="203"/>
      <c r="J671" s="182"/>
      <c r="K671" s="182">
        <f t="shared" si="34"/>
        <v>0</v>
      </c>
      <c r="L671" s="128"/>
      <c r="M671" s="129">
        <f t="shared" si="33"/>
        <v>37234.802000000011</v>
      </c>
    </row>
    <row r="672" spans="1:13" ht="14.25" x14ac:dyDescent="0.2">
      <c r="A672" s="201"/>
      <c r="B672" s="184"/>
      <c r="C672" s="126"/>
      <c r="D672" s="135"/>
      <c r="E672" s="122"/>
      <c r="F672" s="122"/>
      <c r="G672" s="126"/>
      <c r="H672" s="135"/>
      <c r="I672" s="203"/>
      <c r="J672" s="182"/>
      <c r="K672" s="182">
        <f t="shared" si="34"/>
        <v>0</v>
      </c>
      <c r="L672" s="128"/>
      <c r="M672" s="129">
        <f t="shared" si="33"/>
        <v>37234.802000000011</v>
      </c>
    </row>
    <row r="673" spans="1:13" x14ac:dyDescent="0.2">
      <c r="A673" s="131"/>
      <c r="B673" s="212"/>
      <c r="C673" s="122"/>
      <c r="D673" s="122"/>
      <c r="F673" s="122"/>
      <c r="G673" s="133"/>
      <c r="H673" s="123"/>
      <c r="I673" s="127"/>
      <c r="J673" s="128"/>
      <c r="K673" s="128"/>
      <c r="L673" s="128"/>
      <c r="M673" s="129">
        <f t="shared" si="33"/>
        <v>37234.802000000011</v>
      </c>
    </row>
    <row r="674" spans="1:13" ht="15" x14ac:dyDescent="0.25">
      <c r="A674" s="533" t="s">
        <v>408</v>
      </c>
      <c r="B674" s="534"/>
      <c r="C674" s="534"/>
      <c r="D674" s="534"/>
      <c r="E674" s="534"/>
      <c r="F674" s="534"/>
      <c r="G674" s="534"/>
      <c r="H674" s="534"/>
      <c r="I674" s="534"/>
      <c r="J674" s="534"/>
      <c r="K674" s="534"/>
      <c r="L674" s="534"/>
      <c r="M674" s="129">
        <f t="shared" si="33"/>
        <v>37234.802000000011</v>
      </c>
    </row>
    <row r="675" spans="1:13" ht="15" x14ac:dyDescent="0.25">
      <c r="A675" s="213">
        <v>43432</v>
      </c>
      <c r="B675" s="263" t="s">
        <v>511</v>
      </c>
      <c r="C675" s="264"/>
      <c r="D675" s="263" t="s">
        <v>512</v>
      </c>
      <c r="E675" s="216"/>
      <c r="F675" s="216" t="s">
        <v>435</v>
      </c>
      <c r="G675" s="147" t="s">
        <v>436</v>
      </c>
      <c r="I675" s="216"/>
      <c r="J675" s="216"/>
      <c r="K675" s="216"/>
      <c r="L675" s="129">
        <v>1700</v>
      </c>
      <c r="M675" s="129">
        <f t="shared" si="33"/>
        <v>35534.802000000011</v>
      </c>
    </row>
    <row r="676" spans="1:13" x14ac:dyDescent="0.2">
      <c r="A676" s="131"/>
      <c r="B676" s="253" t="s">
        <v>513</v>
      </c>
      <c r="C676" s="262"/>
      <c r="D676" s="254" t="s">
        <v>514</v>
      </c>
      <c r="E676" s="122"/>
      <c r="F676" s="122"/>
      <c r="G676" s="147" t="s">
        <v>437</v>
      </c>
      <c r="H676" s="123"/>
      <c r="I676" s="127"/>
      <c r="J676" s="128"/>
      <c r="K676" s="128"/>
      <c r="L676" s="129">
        <v>950</v>
      </c>
      <c r="M676" s="129">
        <f t="shared" si="33"/>
        <v>34584.802000000011</v>
      </c>
    </row>
    <row r="677" spans="1:13" x14ac:dyDescent="0.2">
      <c r="A677" s="185"/>
      <c r="B677" s="253" t="s">
        <v>515</v>
      </c>
      <c r="C677" s="262"/>
      <c r="D677" s="254" t="s">
        <v>516</v>
      </c>
      <c r="E677" s="122"/>
      <c r="F677" s="146"/>
      <c r="G677" s="147" t="s">
        <v>438</v>
      </c>
      <c r="H677" s="148"/>
      <c r="I677" s="127"/>
      <c r="J677" s="128"/>
      <c r="K677" s="128"/>
      <c r="L677" s="149">
        <v>850</v>
      </c>
      <c r="M677" s="129">
        <f t="shared" si="33"/>
        <v>33734.802000000011</v>
      </c>
    </row>
    <row r="678" spans="1:13" x14ac:dyDescent="0.2">
      <c r="A678" s="185">
        <v>43432</v>
      </c>
      <c r="B678" s="132"/>
      <c r="C678" s="122"/>
      <c r="D678" s="122"/>
      <c r="E678" s="122"/>
      <c r="F678" s="146" t="s">
        <v>439</v>
      </c>
      <c r="G678" s="147" t="s">
        <v>440</v>
      </c>
      <c r="H678" s="148"/>
      <c r="I678" s="127"/>
      <c r="J678" s="128"/>
      <c r="K678" s="128"/>
      <c r="L678" s="149"/>
      <c r="M678" s="129">
        <f t="shared" si="33"/>
        <v>33734.802000000011</v>
      </c>
    </row>
    <row r="679" spans="1:13" x14ac:dyDescent="0.2">
      <c r="A679" s="131"/>
      <c r="B679" s="523"/>
      <c r="C679" s="524"/>
      <c r="D679" s="122"/>
      <c r="E679" s="122"/>
      <c r="F679" s="146"/>
      <c r="G679" s="147" t="s">
        <v>441</v>
      </c>
      <c r="H679" s="123"/>
      <c r="I679" s="127"/>
      <c r="J679" s="128"/>
      <c r="K679" s="128"/>
      <c r="L679" s="149">
        <v>1100</v>
      </c>
      <c r="M679" s="129">
        <f t="shared" si="33"/>
        <v>32634.802000000011</v>
      </c>
    </row>
    <row r="680" spans="1:13" x14ac:dyDescent="0.2">
      <c r="A680" s="131"/>
      <c r="B680" s="523"/>
      <c r="C680" s="524"/>
      <c r="D680" s="122"/>
      <c r="E680" s="122"/>
      <c r="F680" s="251"/>
      <c r="G680" s="147" t="s">
        <v>442</v>
      </c>
      <c r="H680" s="123"/>
      <c r="I680" s="127"/>
      <c r="J680" s="128"/>
      <c r="K680" s="128"/>
      <c r="L680" s="149">
        <v>1100</v>
      </c>
      <c r="M680" s="129">
        <f t="shared" si="33"/>
        <v>31534.802000000011</v>
      </c>
    </row>
    <row r="681" spans="1:13" x14ac:dyDescent="0.2">
      <c r="A681" s="219">
        <v>43432</v>
      </c>
      <c r="B681" s="261"/>
      <c r="C681" s="223"/>
      <c r="D681" s="223"/>
      <c r="E681" s="223"/>
      <c r="F681" s="223" t="s">
        <v>443</v>
      </c>
      <c r="G681" s="133" t="s">
        <v>444</v>
      </c>
      <c r="H681" s="225"/>
      <c r="I681" s="226"/>
      <c r="J681" s="227"/>
      <c r="K681" s="228"/>
      <c r="L681" s="229">
        <v>300</v>
      </c>
      <c r="M681" s="129">
        <f t="shared" si="33"/>
        <v>31234.802000000011</v>
      </c>
    </row>
    <row r="682" spans="1:13" x14ac:dyDescent="0.2">
      <c r="A682" s="131">
        <v>43434</v>
      </c>
      <c r="B682" s="525" t="s">
        <v>503</v>
      </c>
      <c r="C682" s="526"/>
      <c r="D682" s="254" t="s">
        <v>504</v>
      </c>
      <c r="E682" s="122"/>
      <c r="F682" s="223" t="s">
        <v>445</v>
      </c>
      <c r="G682" s="133" t="s">
        <v>446</v>
      </c>
      <c r="H682" s="123"/>
      <c r="I682" s="127"/>
      <c r="J682" s="128"/>
      <c r="K682" s="128"/>
      <c r="L682" s="149">
        <v>1040</v>
      </c>
      <c r="M682" s="129">
        <f t="shared" si="33"/>
        <v>30194.802000000011</v>
      </c>
    </row>
    <row r="683" spans="1:13" x14ac:dyDescent="0.2">
      <c r="A683" s="131">
        <v>43434</v>
      </c>
      <c r="B683" s="253" t="s">
        <v>505</v>
      </c>
      <c r="C683" s="262"/>
      <c r="D683" s="254" t="s">
        <v>506</v>
      </c>
      <c r="E683" s="122"/>
      <c r="F683" s="122" t="s">
        <v>447</v>
      </c>
      <c r="G683" s="133" t="s">
        <v>448</v>
      </c>
      <c r="H683" s="123"/>
      <c r="I683" s="127"/>
      <c r="J683" s="127" t="s">
        <v>449</v>
      </c>
      <c r="K683" s="128"/>
      <c r="L683" s="149">
        <v>780</v>
      </c>
      <c r="M683" s="129">
        <f t="shared" si="33"/>
        <v>29414.802000000011</v>
      </c>
    </row>
    <row r="684" spans="1:13" x14ac:dyDescent="0.2">
      <c r="A684" s="131">
        <v>43434</v>
      </c>
      <c r="B684" s="525" t="s">
        <v>509</v>
      </c>
      <c r="C684" s="526"/>
      <c r="D684" s="254" t="s">
        <v>510</v>
      </c>
      <c r="E684" s="122"/>
      <c r="F684" s="251" t="s">
        <v>450</v>
      </c>
      <c r="G684" s="133" t="s">
        <v>451</v>
      </c>
      <c r="H684" s="123"/>
      <c r="I684" s="127"/>
      <c r="J684" s="128"/>
      <c r="K684" s="128"/>
      <c r="L684" s="149">
        <v>1040</v>
      </c>
      <c r="M684" s="129">
        <f t="shared" si="33"/>
        <v>28374.802000000011</v>
      </c>
    </row>
    <row r="685" spans="1:13" x14ac:dyDescent="0.2">
      <c r="A685" s="230">
        <v>43434</v>
      </c>
      <c r="B685" s="296" t="s">
        <v>507</v>
      </c>
      <c r="C685" s="300"/>
      <c r="D685" s="301" t="s">
        <v>508</v>
      </c>
      <c r="E685" s="232"/>
      <c r="F685" s="232" t="s">
        <v>452</v>
      </c>
      <c r="G685" s="133" t="s">
        <v>453</v>
      </c>
      <c r="H685" s="123"/>
      <c r="J685" s="127" t="s">
        <v>454</v>
      </c>
      <c r="K685" s="128"/>
      <c r="L685" s="149">
        <v>320</v>
      </c>
      <c r="M685" s="129">
        <f t="shared" si="33"/>
        <v>28054.802000000011</v>
      </c>
    </row>
    <row r="686" spans="1:13" x14ac:dyDescent="0.2">
      <c r="A686" s="230"/>
      <c r="B686" s="231"/>
      <c r="C686" s="122"/>
      <c r="D686" s="122"/>
      <c r="E686" s="122"/>
      <c r="F686" s="122"/>
      <c r="G686" s="133"/>
      <c r="H686" s="123"/>
      <c r="I686" s="127"/>
      <c r="J686" s="128"/>
      <c r="K686" s="128"/>
      <c r="L686" s="149"/>
      <c r="M686" s="129">
        <f t="shared" si="33"/>
        <v>28054.802000000011</v>
      </c>
    </row>
    <row r="687" spans="1:13" x14ac:dyDescent="0.2">
      <c r="A687" s="230"/>
      <c r="B687" s="231"/>
      <c r="C687" s="122"/>
      <c r="D687" s="122"/>
      <c r="E687" s="122"/>
      <c r="F687" s="122"/>
      <c r="G687" s="133"/>
      <c r="H687" s="123"/>
      <c r="I687" s="127"/>
      <c r="J687" s="128"/>
      <c r="K687" s="128"/>
      <c r="L687" s="149"/>
      <c r="M687" s="129">
        <f t="shared" si="33"/>
        <v>28054.802000000011</v>
      </c>
    </row>
    <row r="688" spans="1:13" x14ac:dyDescent="0.2">
      <c r="A688" s="230"/>
      <c r="B688" s="231"/>
      <c r="C688" s="122"/>
      <c r="D688" s="122"/>
      <c r="E688" s="122"/>
      <c r="F688" s="122"/>
      <c r="G688" s="133"/>
      <c r="H688" s="123"/>
      <c r="I688" s="235"/>
      <c r="J688" s="128"/>
      <c r="K688" s="128"/>
      <c r="L688" s="149"/>
      <c r="M688" s="129"/>
    </row>
    <row r="689" spans="1:13" x14ac:dyDescent="0.2">
      <c r="A689" s="230"/>
      <c r="B689" s="231"/>
      <c r="C689" s="122"/>
      <c r="D689" s="122"/>
      <c r="E689" s="122"/>
      <c r="F689" s="122"/>
      <c r="G689" s="133"/>
      <c r="H689" s="123"/>
      <c r="I689" s="235"/>
      <c r="J689" s="128"/>
      <c r="K689" s="128"/>
      <c r="L689" s="149"/>
      <c r="M689" s="129"/>
    </row>
    <row r="690" spans="1:13" ht="13.5" thickBot="1" x14ac:dyDescent="0.25">
      <c r="A690" s="238"/>
      <c r="B690" s="239"/>
      <c r="C690" s="240"/>
      <c r="D690" s="240"/>
      <c r="E690" s="241"/>
      <c r="F690" s="242"/>
      <c r="G690" s="243"/>
      <c r="H690" s="244" t="s">
        <v>250</v>
      </c>
      <c r="I690" s="161">
        <f>SUM(I636:I680)</f>
        <v>14859.9</v>
      </c>
      <c r="J690" s="245">
        <f>SUM(J636:J680)</f>
        <v>4755.1679999999997</v>
      </c>
      <c r="K690" s="246">
        <f>SUM(K636:K672)</f>
        <v>10104.731999999998</v>
      </c>
      <c r="L690" s="247">
        <f>SUM(L675:L687)</f>
        <v>9180</v>
      </c>
      <c r="M690" s="248"/>
    </row>
    <row r="691" spans="1:13" ht="13.5" thickBot="1" x14ac:dyDescent="0.25">
      <c r="A691" s="166"/>
      <c r="C691" s="168"/>
      <c r="D691" s="168"/>
      <c r="E691" s="169"/>
      <c r="F691" s="170"/>
      <c r="G691" s="171"/>
      <c r="H691" s="160" t="s">
        <v>13</v>
      </c>
      <c r="I691" s="172"/>
      <c r="J691" s="173"/>
      <c r="K691" s="174"/>
      <c r="L691" s="174"/>
      <c r="M691" s="175">
        <f>+K690-L690+M635</f>
        <v>28054.802000000018</v>
      </c>
    </row>
    <row r="692" spans="1:13" x14ac:dyDescent="0.2">
      <c r="A692" s="166"/>
      <c r="C692" s="168"/>
      <c r="D692" s="168"/>
      <c r="E692" s="169"/>
      <c r="F692" s="170"/>
      <c r="G692" s="171"/>
      <c r="H692" s="171"/>
      <c r="I692" s="189"/>
      <c r="J692" s="188"/>
      <c r="K692" s="180"/>
      <c r="L692" s="180"/>
      <c r="M692" s="189"/>
    </row>
    <row r="693" spans="1:13" ht="12.75" customHeight="1" x14ac:dyDescent="0.2">
      <c r="A693" s="527" t="s">
        <v>95</v>
      </c>
      <c r="B693" s="528"/>
      <c r="C693" s="528"/>
      <c r="D693" s="528"/>
      <c r="E693" s="528"/>
      <c r="F693" s="528"/>
      <c r="G693" s="528"/>
      <c r="H693" s="528"/>
      <c r="I693" s="528"/>
      <c r="J693" s="528"/>
      <c r="K693" s="528"/>
      <c r="L693" s="528"/>
      <c r="M693" s="529"/>
    </row>
    <row r="694" spans="1:13" ht="12.75" customHeight="1" x14ac:dyDescent="0.2">
      <c r="A694" s="530"/>
      <c r="B694" s="531"/>
      <c r="C694" s="531"/>
      <c r="D694" s="531"/>
      <c r="E694" s="531"/>
      <c r="F694" s="531"/>
      <c r="G694" s="531"/>
      <c r="H694" s="531"/>
      <c r="I694" s="531"/>
      <c r="J694" s="531"/>
      <c r="K694" s="531"/>
      <c r="L694" s="531"/>
      <c r="M694" s="532"/>
    </row>
    <row r="695" spans="1:13" ht="20.25" customHeight="1" x14ac:dyDescent="0.25">
      <c r="A695" s="533" t="s">
        <v>455</v>
      </c>
      <c r="B695" s="534"/>
      <c r="C695" s="534"/>
      <c r="D695" s="534"/>
      <c r="E695" s="534"/>
      <c r="F695" s="534"/>
      <c r="G695" s="534"/>
      <c r="H695" s="534"/>
      <c r="I695" s="534"/>
      <c r="J695" s="534"/>
      <c r="K695" s="534"/>
      <c r="L695" s="534"/>
      <c r="M695" s="534"/>
    </row>
    <row r="696" spans="1:13" x14ac:dyDescent="0.2">
      <c r="A696" s="115" t="s">
        <v>1</v>
      </c>
      <c r="B696" s="116" t="s">
        <v>2</v>
      </c>
      <c r="C696" s="117" t="s">
        <v>3</v>
      </c>
      <c r="D696" s="117" t="s">
        <v>4</v>
      </c>
      <c r="E696" s="117" t="s">
        <v>96</v>
      </c>
      <c r="F696" s="117" t="s">
        <v>5</v>
      </c>
      <c r="G696" s="118" t="s">
        <v>97</v>
      </c>
      <c r="H696" s="118" t="s">
        <v>6</v>
      </c>
      <c r="I696" s="117" t="s">
        <v>7</v>
      </c>
      <c r="J696" s="117" t="s">
        <v>8</v>
      </c>
      <c r="K696" s="117" t="s">
        <v>9</v>
      </c>
      <c r="L696" s="119" t="s">
        <v>10</v>
      </c>
      <c r="M696" s="117" t="s">
        <v>11</v>
      </c>
    </row>
    <row r="697" spans="1:13" x14ac:dyDescent="0.2">
      <c r="A697" s="120"/>
      <c r="B697" s="121"/>
      <c r="C697" s="122"/>
      <c r="D697" s="122"/>
      <c r="E697" s="122"/>
      <c r="F697" s="122"/>
      <c r="G697" s="101"/>
      <c r="H697" s="123"/>
      <c r="I697" s="124"/>
      <c r="J697" s="125"/>
      <c r="K697" s="125"/>
      <c r="L697" s="125"/>
      <c r="M697" s="124">
        <f>M691</f>
        <v>28054.802000000018</v>
      </c>
    </row>
    <row r="698" spans="1:13" ht="14.25" x14ac:dyDescent="0.2">
      <c r="A698" s="201">
        <v>43802</v>
      </c>
      <c r="B698" s="184" t="s">
        <v>456</v>
      </c>
      <c r="C698" s="126"/>
      <c r="D698" s="122"/>
      <c r="E698" s="122"/>
      <c r="F698" s="122"/>
      <c r="G698" s="126" t="s">
        <v>457</v>
      </c>
      <c r="H698" s="122"/>
      <c r="I698" s="190">
        <v>144</v>
      </c>
      <c r="J698" s="182">
        <f>+I698*0.32</f>
        <v>46.08</v>
      </c>
      <c r="K698" s="182">
        <f>+I698*0.68</f>
        <v>97.92</v>
      </c>
      <c r="L698" s="128"/>
      <c r="M698" s="129">
        <f>+K698-L698+M697</f>
        <v>28152.722000000016</v>
      </c>
    </row>
    <row r="699" spans="1:13" ht="14.25" x14ac:dyDescent="0.2">
      <c r="A699" s="201">
        <v>43805</v>
      </c>
      <c r="B699" s="184" t="s">
        <v>456</v>
      </c>
      <c r="C699" s="126"/>
      <c r="D699" s="122"/>
      <c r="E699" s="122"/>
      <c r="F699" s="122"/>
      <c r="G699" s="126" t="s">
        <v>457</v>
      </c>
      <c r="H699" s="122"/>
      <c r="I699" s="190">
        <v>308</v>
      </c>
      <c r="J699" s="182">
        <f t="shared" ref="J699:J731" si="35">+I699*0.32</f>
        <v>98.56</v>
      </c>
      <c r="K699" s="182">
        <f>+I699*0.68</f>
        <v>209.44000000000003</v>
      </c>
      <c r="L699" s="128"/>
      <c r="M699" s="129">
        <f t="shared" ref="M699:M757" si="36">+K699-L699+M698</f>
        <v>28362.162000000015</v>
      </c>
    </row>
    <row r="700" spans="1:13" ht="14.25" x14ac:dyDescent="0.2">
      <c r="A700" s="201">
        <v>43806</v>
      </c>
      <c r="B700" s="184" t="s">
        <v>456</v>
      </c>
      <c r="C700" s="126"/>
      <c r="D700" s="122"/>
      <c r="E700" s="183"/>
      <c r="F700" s="183"/>
      <c r="G700" s="126" t="s">
        <v>457</v>
      </c>
      <c r="H700" s="122"/>
      <c r="I700" s="190">
        <v>516</v>
      </c>
      <c r="J700" s="182">
        <f t="shared" si="35"/>
        <v>165.12</v>
      </c>
      <c r="K700" s="182">
        <f t="shared" ref="K700:K731" si="37">+I700*0.68</f>
        <v>350.88000000000005</v>
      </c>
      <c r="L700" s="128"/>
      <c r="M700" s="129">
        <f t="shared" si="36"/>
        <v>28713.042000000016</v>
      </c>
    </row>
    <row r="701" spans="1:13" ht="14.25" x14ac:dyDescent="0.2">
      <c r="A701" s="201">
        <v>43809</v>
      </c>
      <c r="B701" s="184" t="s">
        <v>456</v>
      </c>
      <c r="C701" s="126"/>
      <c r="D701" s="122"/>
      <c r="E701" s="122"/>
      <c r="F701" s="122"/>
      <c r="G701" s="126" t="s">
        <v>457</v>
      </c>
      <c r="H701" s="122"/>
      <c r="I701" s="190">
        <v>452</v>
      </c>
      <c r="J701" s="182">
        <f t="shared" si="35"/>
        <v>144.64000000000001</v>
      </c>
      <c r="K701" s="182">
        <f t="shared" si="37"/>
        <v>307.36</v>
      </c>
      <c r="L701" s="128"/>
      <c r="M701" s="129">
        <f t="shared" si="36"/>
        <v>29020.402000000016</v>
      </c>
    </row>
    <row r="702" spans="1:13" ht="14.25" x14ac:dyDescent="0.2">
      <c r="A702" s="201">
        <v>43810</v>
      </c>
      <c r="B702" s="184" t="s">
        <v>456</v>
      </c>
      <c r="C702" s="126"/>
      <c r="D702" s="122"/>
      <c r="E702" s="122"/>
      <c r="F702" s="122"/>
      <c r="G702" s="126" t="s">
        <v>457</v>
      </c>
      <c r="H702" s="122"/>
      <c r="I702" s="190">
        <v>308</v>
      </c>
      <c r="J702" s="182">
        <f t="shared" si="35"/>
        <v>98.56</v>
      </c>
      <c r="K702" s="182">
        <f t="shared" si="37"/>
        <v>209.44000000000003</v>
      </c>
      <c r="L702" s="128"/>
      <c r="M702" s="129">
        <f t="shared" si="36"/>
        <v>29229.842000000015</v>
      </c>
    </row>
    <row r="703" spans="1:13" ht="14.25" x14ac:dyDescent="0.2">
      <c r="A703" s="201">
        <v>43811</v>
      </c>
      <c r="B703" s="184" t="s">
        <v>456</v>
      </c>
      <c r="C703" s="126"/>
      <c r="D703" s="122"/>
      <c r="E703" s="122"/>
      <c r="F703" s="122"/>
      <c r="G703" s="126" t="s">
        <v>457</v>
      </c>
      <c r="H703" s="122"/>
      <c r="I703" s="203">
        <v>308</v>
      </c>
      <c r="J703" s="182">
        <f t="shared" si="35"/>
        <v>98.56</v>
      </c>
      <c r="K703" s="182">
        <f t="shared" si="37"/>
        <v>209.44000000000003</v>
      </c>
      <c r="L703" s="128"/>
      <c r="M703" s="129">
        <f t="shared" si="36"/>
        <v>29439.282000000014</v>
      </c>
    </row>
    <row r="704" spans="1:13" ht="14.25" x14ac:dyDescent="0.2">
      <c r="A704" s="201">
        <v>43812</v>
      </c>
      <c r="B704" s="184" t="s">
        <v>456</v>
      </c>
      <c r="C704" s="126"/>
      <c r="D704" s="122"/>
      <c r="E704" s="122"/>
      <c r="F704" s="122"/>
      <c r="G704" s="126" t="s">
        <v>457</v>
      </c>
      <c r="H704" s="122"/>
      <c r="I704" s="203">
        <v>616</v>
      </c>
      <c r="J704" s="182">
        <f t="shared" si="35"/>
        <v>197.12</v>
      </c>
      <c r="K704" s="182">
        <f t="shared" si="37"/>
        <v>418.88000000000005</v>
      </c>
      <c r="L704" s="128"/>
      <c r="M704" s="129">
        <f t="shared" si="36"/>
        <v>29858.162000000015</v>
      </c>
    </row>
    <row r="705" spans="1:13" ht="14.25" x14ac:dyDescent="0.2">
      <c r="A705" s="201">
        <v>43813</v>
      </c>
      <c r="B705" s="184" t="s">
        <v>456</v>
      </c>
      <c r="C705" s="126"/>
      <c r="D705" s="122"/>
      <c r="E705" s="122"/>
      <c r="F705" s="122"/>
      <c r="G705" s="126" t="s">
        <v>457</v>
      </c>
      <c r="H705" s="122"/>
      <c r="I705" s="203">
        <v>204</v>
      </c>
      <c r="J705" s="182">
        <f t="shared" si="35"/>
        <v>65.28</v>
      </c>
      <c r="K705" s="182">
        <f t="shared" si="37"/>
        <v>138.72</v>
      </c>
      <c r="L705" s="128"/>
      <c r="M705" s="129">
        <f t="shared" si="36"/>
        <v>29996.882000000016</v>
      </c>
    </row>
    <row r="706" spans="1:13" ht="14.25" x14ac:dyDescent="0.2">
      <c r="A706" s="201">
        <v>43814</v>
      </c>
      <c r="B706" s="184" t="s">
        <v>456</v>
      </c>
      <c r="C706" s="126"/>
      <c r="D706" s="122"/>
      <c r="E706" s="122"/>
      <c r="F706" s="122"/>
      <c r="G706" s="126" t="s">
        <v>457</v>
      </c>
      <c r="H706" s="122"/>
      <c r="I706" s="203">
        <v>144</v>
      </c>
      <c r="J706" s="182">
        <f t="shared" si="35"/>
        <v>46.08</v>
      </c>
      <c r="K706" s="182">
        <f t="shared" si="37"/>
        <v>97.92</v>
      </c>
      <c r="L706" s="128"/>
      <c r="M706" s="129">
        <f t="shared" si="36"/>
        <v>30094.802000000014</v>
      </c>
    </row>
    <row r="707" spans="1:13" ht="14.25" x14ac:dyDescent="0.2">
      <c r="A707" s="201">
        <v>43817</v>
      </c>
      <c r="B707" s="184" t="s">
        <v>458</v>
      </c>
      <c r="C707" s="126"/>
      <c r="D707" s="122"/>
      <c r="E707" s="122"/>
      <c r="F707" s="122"/>
      <c r="G707" s="126" t="s">
        <v>459</v>
      </c>
      <c r="H707" s="122"/>
      <c r="I707" s="203">
        <v>328</v>
      </c>
      <c r="J707" s="182">
        <f t="shared" si="35"/>
        <v>104.96000000000001</v>
      </c>
      <c r="K707" s="182">
        <f t="shared" si="37"/>
        <v>223.04000000000002</v>
      </c>
      <c r="L707" s="128"/>
      <c r="M707" s="129">
        <f t="shared" si="36"/>
        <v>30317.842000000015</v>
      </c>
    </row>
    <row r="708" spans="1:13" ht="14.25" x14ac:dyDescent="0.2">
      <c r="A708" s="201">
        <v>43818</v>
      </c>
      <c r="B708" s="184" t="s">
        <v>458</v>
      </c>
      <c r="C708" s="126"/>
      <c r="D708" s="135"/>
      <c r="E708" s="122"/>
      <c r="F708" s="122"/>
      <c r="G708" s="126" t="s">
        <v>459</v>
      </c>
      <c r="H708" s="135"/>
      <c r="I708" s="203">
        <v>184</v>
      </c>
      <c r="J708" s="182">
        <f t="shared" si="35"/>
        <v>58.88</v>
      </c>
      <c r="K708" s="182">
        <f t="shared" si="37"/>
        <v>125.12</v>
      </c>
      <c r="L708" s="128"/>
      <c r="M708" s="129">
        <f t="shared" si="36"/>
        <v>30442.962000000014</v>
      </c>
    </row>
    <row r="709" spans="1:13" ht="14.25" x14ac:dyDescent="0.2">
      <c r="A709" s="201">
        <v>43819</v>
      </c>
      <c r="B709" s="184" t="s">
        <v>458</v>
      </c>
      <c r="C709" s="126"/>
      <c r="D709" s="135"/>
      <c r="E709" s="122"/>
      <c r="F709" s="122"/>
      <c r="G709" s="126" t="s">
        <v>459</v>
      </c>
      <c r="H709" s="135"/>
      <c r="I709" s="203">
        <v>144</v>
      </c>
      <c r="J709" s="182">
        <f t="shared" si="35"/>
        <v>46.08</v>
      </c>
      <c r="K709" s="182">
        <f t="shared" si="37"/>
        <v>97.92</v>
      </c>
      <c r="L709" s="128"/>
      <c r="M709" s="129">
        <f t="shared" si="36"/>
        <v>30540.882000000012</v>
      </c>
    </row>
    <row r="710" spans="1:13" ht="14.25" x14ac:dyDescent="0.2">
      <c r="A710" s="201">
        <v>43820</v>
      </c>
      <c r="B710" s="184" t="s">
        <v>458</v>
      </c>
      <c r="C710" s="126"/>
      <c r="D710" s="135"/>
      <c r="E710" s="122"/>
      <c r="F710" s="122"/>
      <c r="G710" s="126" t="s">
        <v>459</v>
      </c>
      <c r="H710" s="135"/>
      <c r="I710" s="203">
        <v>148</v>
      </c>
      <c r="J710" s="182">
        <f t="shared" si="35"/>
        <v>47.36</v>
      </c>
      <c r="K710" s="182">
        <f t="shared" si="37"/>
        <v>100.64</v>
      </c>
      <c r="L710" s="128"/>
      <c r="M710" s="129">
        <f t="shared" si="36"/>
        <v>30641.522000000012</v>
      </c>
    </row>
    <row r="711" spans="1:13" ht="14.25" x14ac:dyDescent="0.2">
      <c r="A711" s="201">
        <v>43823</v>
      </c>
      <c r="B711" s="184" t="s">
        <v>458</v>
      </c>
      <c r="C711" s="126"/>
      <c r="D711" s="135"/>
      <c r="E711" s="122"/>
      <c r="F711" s="122"/>
      <c r="G711" s="126" t="s">
        <v>459</v>
      </c>
      <c r="H711" s="135"/>
      <c r="I711" s="203">
        <v>144</v>
      </c>
      <c r="J711" s="182">
        <f t="shared" si="35"/>
        <v>46.08</v>
      </c>
      <c r="K711" s="182">
        <f t="shared" si="37"/>
        <v>97.92</v>
      </c>
      <c r="L711" s="128"/>
      <c r="M711" s="129">
        <f t="shared" si="36"/>
        <v>30739.44200000001</v>
      </c>
    </row>
    <row r="712" spans="1:13" ht="14.25" x14ac:dyDescent="0.2">
      <c r="A712" s="201">
        <v>43825</v>
      </c>
      <c r="B712" s="184" t="s">
        <v>458</v>
      </c>
      <c r="C712" s="126"/>
      <c r="D712" s="135"/>
      <c r="E712" s="122"/>
      <c r="F712" s="122"/>
      <c r="G712" s="126" t="s">
        <v>459</v>
      </c>
      <c r="H712" s="135"/>
      <c r="I712" s="203">
        <v>344</v>
      </c>
      <c r="J712" s="182">
        <f t="shared" si="35"/>
        <v>110.08</v>
      </c>
      <c r="K712" s="182">
        <f t="shared" si="37"/>
        <v>233.92000000000002</v>
      </c>
      <c r="L712" s="128"/>
      <c r="M712" s="129">
        <f t="shared" si="36"/>
        <v>30973.362000000008</v>
      </c>
    </row>
    <row r="713" spans="1:13" ht="14.25" x14ac:dyDescent="0.2">
      <c r="A713" s="201">
        <v>43826</v>
      </c>
      <c r="B713" s="184" t="s">
        <v>458</v>
      </c>
      <c r="C713" s="126"/>
      <c r="D713" s="135"/>
      <c r="E713" s="122"/>
      <c r="F713" s="122"/>
      <c r="G713" s="126" t="s">
        <v>459</v>
      </c>
      <c r="H713" s="135"/>
      <c r="I713" s="203">
        <v>240</v>
      </c>
      <c r="J713" s="182">
        <f t="shared" si="35"/>
        <v>76.8</v>
      </c>
      <c r="K713" s="182">
        <f t="shared" si="37"/>
        <v>163.20000000000002</v>
      </c>
      <c r="L713" s="128"/>
      <c r="M713" s="129">
        <f t="shared" si="36"/>
        <v>31136.562000000009</v>
      </c>
    </row>
    <row r="714" spans="1:13" ht="14.25" x14ac:dyDescent="0.2">
      <c r="A714" s="201">
        <v>43802</v>
      </c>
      <c r="B714" s="184"/>
      <c r="C714" s="126"/>
      <c r="D714" s="135"/>
      <c r="E714" s="122"/>
      <c r="F714" s="122"/>
      <c r="G714" s="126"/>
      <c r="H714" s="135"/>
      <c r="I714" s="203">
        <v>290</v>
      </c>
      <c r="J714" s="182">
        <f t="shared" si="35"/>
        <v>92.8</v>
      </c>
      <c r="K714" s="182">
        <f t="shared" si="37"/>
        <v>197.20000000000002</v>
      </c>
      <c r="L714" s="128"/>
      <c r="M714" s="129">
        <f t="shared" si="36"/>
        <v>31333.76200000001</v>
      </c>
    </row>
    <row r="715" spans="1:13" ht="14.25" x14ac:dyDescent="0.2">
      <c r="A715" s="201">
        <v>43803</v>
      </c>
      <c r="B715" s="184"/>
      <c r="C715" s="126"/>
      <c r="D715" s="135"/>
      <c r="E715" s="122"/>
      <c r="F715" s="122"/>
      <c r="G715" s="126"/>
      <c r="H715" s="135"/>
      <c r="I715" s="203">
        <v>190</v>
      </c>
      <c r="J715" s="182">
        <f t="shared" si="35"/>
        <v>60.800000000000004</v>
      </c>
      <c r="K715" s="182">
        <f t="shared" si="37"/>
        <v>129.20000000000002</v>
      </c>
      <c r="L715" s="128"/>
      <c r="M715" s="129">
        <f t="shared" si="36"/>
        <v>31462.96200000001</v>
      </c>
    </row>
    <row r="716" spans="1:13" ht="14.25" x14ac:dyDescent="0.2">
      <c r="A716" s="201">
        <v>43805</v>
      </c>
      <c r="B716" s="184"/>
      <c r="C716" s="126"/>
      <c r="D716" s="135"/>
      <c r="E716" s="122"/>
      <c r="F716" s="122"/>
      <c r="G716" s="126"/>
      <c r="H716" s="135"/>
      <c r="I716" s="203">
        <v>1488</v>
      </c>
      <c r="J716" s="182">
        <f t="shared" si="35"/>
        <v>476.16</v>
      </c>
      <c r="K716" s="182">
        <f t="shared" si="37"/>
        <v>1011.84</v>
      </c>
      <c r="L716" s="128"/>
      <c r="M716" s="129">
        <f t="shared" si="36"/>
        <v>32474.802000000011</v>
      </c>
    </row>
    <row r="717" spans="1:13" ht="14.25" x14ac:dyDescent="0.2">
      <c r="A717" s="201">
        <v>43806</v>
      </c>
      <c r="B717" s="184"/>
      <c r="C717" s="126"/>
      <c r="D717" s="135"/>
      <c r="E717" s="122"/>
      <c r="F717" s="122"/>
      <c r="G717" s="126"/>
      <c r="H717" s="135"/>
      <c r="I717" s="203">
        <v>288</v>
      </c>
      <c r="J717" s="182">
        <f t="shared" si="35"/>
        <v>92.16</v>
      </c>
      <c r="K717" s="182">
        <f t="shared" si="37"/>
        <v>195.84</v>
      </c>
      <c r="L717" s="128"/>
      <c r="M717" s="129">
        <f t="shared" si="36"/>
        <v>32670.642000000011</v>
      </c>
    </row>
    <row r="718" spans="1:13" ht="14.25" x14ac:dyDescent="0.2">
      <c r="A718" s="201">
        <v>43809</v>
      </c>
      <c r="B718" s="184"/>
      <c r="C718" s="126"/>
      <c r="D718" s="135"/>
      <c r="E718" s="122"/>
      <c r="F718" s="122"/>
      <c r="G718" s="126"/>
      <c r="H718" s="135"/>
      <c r="I718" s="203">
        <v>642</v>
      </c>
      <c r="J718" s="182">
        <f t="shared" si="35"/>
        <v>205.44</v>
      </c>
      <c r="K718" s="182">
        <f t="shared" si="37"/>
        <v>436.56000000000006</v>
      </c>
      <c r="L718" s="128"/>
      <c r="M718" s="129">
        <f t="shared" si="36"/>
        <v>33107.202000000012</v>
      </c>
    </row>
    <row r="719" spans="1:13" ht="14.25" x14ac:dyDescent="0.2">
      <c r="A719" s="201">
        <v>43810</v>
      </c>
      <c r="B719" s="184"/>
      <c r="C719" s="126"/>
      <c r="D719" s="135"/>
      <c r="E719" s="122"/>
      <c r="F719" s="122"/>
      <c r="G719" s="126"/>
      <c r="H719" s="135"/>
      <c r="I719" s="203">
        <v>70</v>
      </c>
      <c r="J719" s="182">
        <f t="shared" si="35"/>
        <v>22.400000000000002</v>
      </c>
      <c r="K719" s="182">
        <f t="shared" si="37"/>
        <v>47.6</v>
      </c>
      <c r="L719" s="128"/>
      <c r="M719" s="129">
        <f t="shared" si="36"/>
        <v>33154.802000000011</v>
      </c>
    </row>
    <row r="720" spans="1:13" ht="14.25" x14ac:dyDescent="0.2">
      <c r="A720" s="201">
        <v>43811</v>
      </c>
      <c r="B720" s="184"/>
      <c r="C720" s="126"/>
      <c r="D720" s="135"/>
      <c r="E720" s="122"/>
      <c r="F720" s="122"/>
      <c r="G720" s="126"/>
      <c r="H720" s="135"/>
      <c r="I720" s="203">
        <v>1240</v>
      </c>
      <c r="J720" s="182">
        <f t="shared" si="35"/>
        <v>396.8</v>
      </c>
      <c r="K720" s="182">
        <f t="shared" si="37"/>
        <v>843.2</v>
      </c>
      <c r="L720" s="128"/>
      <c r="M720" s="129">
        <f t="shared" si="36"/>
        <v>33998.002000000008</v>
      </c>
    </row>
    <row r="721" spans="1:13" ht="14.25" x14ac:dyDescent="0.2">
      <c r="A721" s="201">
        <v>43812</v>
      </c>
      <c r="B721" s="184"/>
      <c r="C721" s="126"/>
      <c r="D721" s="135"/>
      <c r="E721" s="122"/>
      <c r="F721" s="122"/>
      <c r="G721" s="126"/>
      <c r="H721" s="135"/>
      <c r="I721" s="203">
        <v>40</v>
      </c>
      <c r="J721" s="182">
        <f t="shared" si="35"/>
        <v>12.8</v>
      </c>
      <c r="K721" s="182">
        <f t="shared" si="37"/>
        <v>27.200000000000003</v>
      </c>
      <c r="L721" s="128"/>
      <c r="M721" s="129">
        <f t="shared" si="36"/>
        <v>34025.202000000005</v>
      </c>
    </row>
    <row r="722" spans="1:13" ht="14.25" x14ac:dyDescent="0.2">
      <c r="A722" s="201">
        <v>43813</v>
      </c>
      <c r="B722" s="184"/>
      <c r="C722" s="126"/>
      <c r="D722" s="135"/>
      <c r="E722" s="122"/>
      <c r="F722" s="122"/>
      <c r="G722" s="126"/>
      <c r="H722" s="135"/>
      <c r="I722" s="203">
        <v>1216</v>
      </c>
      <c r="J722" s="182">
        <f t="shared" si="35"/>
        <v>389.12</v>
      </c>
      <c r="K722" s="182">
        <f t="shared" si="37"/>
        <v>826.88000000000011</v>
      </c>
      <c r="L722" s="128"/>
      <c r="M722" s="129">
        <f t="shared" si="36"/>
        <v>34852.082000000002</v>
      </c>
    </row>
    <row r="723" spans="1:13" ht="14.25" x14ac:dyDescent="0.2">
      <c r="A723" s="201">
        <v>43814</v>
      </c>
      <c r="B723" s="184"/>
      <c r="C723" s="126"/>
      <c r="D723" s="135"/>
      <c r="E723" s="122"/>
      <c r="F723" s="122"/>
      <c r="G723" s="126"/>
      <c r="H723" s="135"/>
      <c r="I723" s="203">
        <v>372</v>
      </c>
      <c r="J723" s="182">
        <f t="shared" si="35"/>
        <v>119.04</v>
      </c>
      <c r="K723" s="182">
        <f t="shared" si="37"/>
        <v>252.96</v>
      </c>
      <c r="L723" s="128"/>
      <c r="M723" s="129">
        <f t="shared" si="36"/>
        <v>35105.042000000001</v>
      </c>
    </row>
    <row r="724" spans="1:13" ht="14.25" x14ac:dyDescent="0.2">
      <c r="A724" s="201">
        <v>43816</v>
      </c>
      <c r="B724" s="184"/>
      <c r="C724" s="126"/>
      <c r="D724" s="135"/>
      <c r="E724" s="122"/>
      <c r="F724" s="122"/>
      <c r="G724" s="126"/>
      <c r="H724" s="135"/>
      <c r="I724" s="203">
        <v>208</v>
      </c>
      <c r="J724" s="182">
        <f t="shared" si="35"/>
        <v>66.56</v>
      </c>
      <c r="K724" s="182">
        <f t="shared" si="37"/>
        <v>141.44</v>
      </c>
      <c r="L724" s="128"/>
      <c r="M724" s="129">
        <f t="shared" si="36"/>
        <v>35246.482000000004</v>
      </c>
    </row>
    <row r="725" spans="1:13" ht="14.25" x14ac:dyDescent="0.2">
      <c r="A725" s="201">
        <v>43817</v>
      </c>
      <c r="B725" s="184"/>
      <c r="C725" s="126"/>
      <c r="D725" s="135"/>
      <c r="E725" s="122"/>
      <c r="F725" s="122"/>
      <c r="G725" s="126"/>
      <c r="H725" s="135"/>
      <c r="I725" s="203">
        <v>884</v>
      </c>
      <c r="J725" s="182">
        <f t="shared" si="35"/>
        <v>282.88</v>
      </c>
      <c r="K725" s="182">
        <f t="shared" si="37"/>
        <v>601.12</v>
      </c>
      <c r="L725" s="128"/>
      <c r="M725" s="129">
        <f t="shared" si="36"/>
        <v>35847.602000000006</v>
      </c>
    </row>
    <row r="726" spans="1:13" ht="14.25" x14ac:dyDescent="0.2">
      <c r="A726" s="201">
        <v>43818</v>
      </c>
      <c r="B726" s="184"/>
      <c r="C726" s="126"/>
      <c r="D726" s="135"/>
      <c r="E726" s="122"/>
      <c r="F726" s="122"/>
      <c r="G726" s="126"/>
      <c r="H726" s="135"/>
      <c r="I726" s="203">
        <v>1764</v>
      </c>
      <c r="J726" s="182">
        <f t="shared" si="35"/>
        <v>564.48</v>
      </c>
      <c r="K726" s="182">
        <f t="shared" si="37"/>
        <v>1199.52</v>
      </c>
      <c r="L726" s="128"/>
      <c r="M726" s="129">
        <f t="shared" si="36"/>
        <v>37047.122000000003</v>
      </c>
    </row>
    <row r="727" spans="1:13" ht="14.25" x14ac:dyDescent="0.2">
      <c r="A727" s="201">
        <v>43819</v>
      </c>
      <c r="B727" s="184"/>
      <c r="C727" s="126"/>
      <c r="D727" s="135"/>
      <c r="E727" s="122"/>
      <c r="F727" s="122"/>
      <c r="G727" s="126"/>
      <c r="H727" s="135"/>
      <c r="I727" s="203">
        <v>666</v>
      </c>
      <c r="J727" s="182">
        <f t="shared" si="35"/>
        <v>213.12</v>
      </c>
      <c r="K727" s="182">
        <f t="shared" si="37"/>
        <v>452.88000000000005</v>
      </c>
      <c r="L727" s="128"/>
      <c r="M727" s="129">
        <f t="shared" si="36"/>
        <v>37500.002</v>
      </c>
    </row>
    <row r="728" spans="1:13" ht="14.25" x14ac:dyDescent="0.2">
      <c r="A728" s="201">
        <v>43820</v>
      </c>
      <c r="B728" s="184"/>
      <c r="C728" s="126"/>
      <c r="D728" s="135"/>
      <c r="E728" s="122"/>
      <c r="F728" s="122"/>
      <c r="G728" s="126"/>
      <c r="H728" s="135"/>
      <c r="I728" s="203">
        <v>434</v>
      </c>
      <c r="J728" s="182">
        <f t="shared" si="35"/>
        <v>138.88</v>
      </c>
      <c r="K728" s="182">
        <f t="shared" si="37"/>
        <v>295.12</v>
      </c>
      <c r="L728" s="128"/>
      <c r="M728" s="129">
        <f t="shared" si="36"/>
        <v>37795.122000000003</v>
      </c>
    </row>
    <row r="729" spans="1:13" ht="14.25" x14ac:dyDescent="0.2">
      <c r="A729" s="201">
        <v>43825</v>
      </c>
      <c r="B729" s="184"/>
      <c r="C729" s="126"/>
      <c r="D729" s="135"/>
      <c r="E729" s="122"/>
      <c r="F729" s="122"/>
      <c r="G729" s="126"/>
      <c r="H729" s="135"/>
      <c r="I729" s="203">
        <v>931</v>
      </c>
      <c r="J729" s="182">
        <f t="shared" si="35"/>
        <v>297.92</v>
      </c>
      <c r="K729" s="182">
        <f t="shared" si="37"/>
        <v>633.08000000000004</v>
      </c>
      <c r="L729" s="128"/>
      <c r="M729" s="129">
        <f t="shared" si="36"/>
        <v>38428.202000000005</v>
      </c>
    </row>
    <row r="730" spans="1:13" ht="14.25" x14ac:dyDescent="0.2">
      <c r="A730" s="201">
        <v>43826</v>
      </c>
      <c r="B730" s="184"/>
      <c r="C730" s="126"/>
      <c r="D730" s="135"/>
      <c r="E730" s="122"/>
      <c r="F730" s="122"/>
      <c r="G730" s="126"/>
      <c r="H730" s="135"/>
      <c r="I730" s="203">
        <v>434</v>
      </c>
      <c r="J730" s="182">
        <f t="shared" si="35"/>
        <v>138.88</v>
      </c>
      <c r="K730" s="182">
        <f t="shared" si="37"/>
        <v>295.12</v>
      </c>
      <c r="L730" s="128"/>
      <c r="M730" s="129">
        <f t="shared" si="36"/>
        <v>38723.322000000007</v>
      </c>
    </row>
    <row r="731" spans="1:13" ht="14.25" x14ac:dyDescent="0.2">
      <c r="A731" s="201">
        <v>43830</v>
      </c>
      <c r="B731" s="184"/>
      <c r="C731" s="126"/>
      <c r="D731" s="135"/>
      <c r="E731" s="122"/>
      <c r="F731" s="122"/>
      <c r="G731" s="126"/>
      <c r="H731" s="135"/>
      <c r="I731" s="203">
        <v>20</v>
      </c>
      <c r="J731" s="182">
        <f t="shared" si="35"/>
        <v>6.4</v>
      </c>
      <c r="K731" s="182">
        <f t="shared" si="37"/>
        <v>13.600000000000001</v>
      </c>
      <c r="L731" s="128"/>
      <c r="M731" s="129">
        <f t="shared" si="36"/>
        <v>38736.922000000006</v>
      </c>
    </row>
    <row r="732" spans="1:13" ht="14.25" x14ac:dyDescent="0.2">
      <c r="A732" s="201"/>
      <c r="B732" s="184"/>
      <c r="C732" s="126"/>
      <c r="D732" s="135"/>
      <c r="E732" s="122"/>
      <c r="F732" s="122"/>
      <c r="G732" s="126"/>
      <c r="H732" s="135"/>
      <c r="I732" s="203"/>
      <c r="J732" s="182"/>
      <c r="K732" s="182"/>
      <c r="L732" s="128"/>
      <c r="M732" s="129">
        <f t="shared" si="36"/>
        <v>38736.922000000006</v>
      </c>
    </row>
    <row r="733" spans="1:13" x14ac:dyDescent="0.2">
      <c r="A733" s="131"/>
      <c r="B733" s="212"/>
      <c r="C733" s="122"/>
      <c r="D733" s="122"/>
      <c r="F733" s="122"/>
      <c r="G733" s="133"/>
      <c r="H733" s="123"/>
      <c r="I733" s="127"/>
      <c r="J733" s="128"/>
      <c r="K733" s="128"/>
      <c r="L733" s="128"/>
      <c r="M733" s="129">
        <f t="shared" si="36"/>
        <v>38736.922000000006</v>
      </c>
    </row>
    <row r="734" spans="1:13" ht="15" x14ac:dyDescent="0.25">
      <c r="A734" s="533" t="s">
        <v>408</v>
      </c>
      <c r="B734" s="534"/>
      <c r="C734" s="534"/>
      <c r="D734" s="534"/>
      <c r="E734" s="534"/>
      <c r="F734" s="534"/>
      <c r="G734" s="534"/>
      <c r="H734" s="534"/>
      <c r="I734" s="534"/>
      <c r="J734" s="534"/>
      <c r="K734" s="534"/>
      <c r="L734" s="534"/>
      <c r="M734" s="129">
        <f t="shared" si="36"/>
        <v>38736.922000000006</v>
      </c>
    </row>
    <row r="735" spans="1:13" x14ac:dyDescent="0.2">
      <c r="A735" s="230">
        <v>43438</v>
      </c>
      <c r="B735" s="298">
        <v>8648</v>
      </c>
      <c r="C735" s="300"/>
      <c r="D735" s="301" t="s">
        <v>499</v>
      </c>
      <c r="E735" s="232"/>
      <c r="F735" s="232" t="s">
        <v>460</v>
      </c>
      <c r="G735" s="133" t="s">
        <v>461</v>
      </c>
      <c r="H735" s="123"/>
      <c r="I735" s="127"/>
      <c r="J735" s="128"/>
      <c r="K735" s="128"/>
      <c r="L735" s="149">
        <v>1040</v>
      </c>
      <c r="M735" s="129">
        <f t="shared" si="36"/>
        <v>37696.922000000006</v>
      </c>
    </row>
    <row r="736" spans="1:13" x14ac:dyDescent="0.2">
      <c r="A736" s="230">
        <v>43438</v>
      </c>
      <c r="B736" s="298">
        <v>8646</v>
      </c>
      <c r="C736" s="300"/>
      <c r="D736" s="301" t="s">
        <v>500</v>
      </c>
      <c r="E736" s="232"/>
      <c r="F736" s="232" t="s">
        <v>462</v>
      </c>
      <c r="G736" s="133" t="s">
        <v>463</v>
      </c>
      <c r="H736" s="123"/>
      <c r="I736" s="127"/>
      <c r="J736" s="128"/>
      <c r="K736" s="128"/>
      <c r="L736" s="149">
        <v>1040</v>
      </c>
      <c r="M736" s="129">
        <f t="shared" si="36"/>
        <v>36656.922000000006</v>
      </c>
    </row>
    <row r="737" spans="1:13" x14ac:dyDescent="0.2">
      <c r="A737" s="230">
        <v>43438</v>
      </c>
      <c r="B737" s="298">
        <v>8533</v>
      </c>
      <c r="C737" s="300"/>
      <c r="D737" s="301" t="s">
        <v>502</v>
      </c>
      <c r="E737" s="232"/>
      <c r="F737" s="232" t="s">
        <v>464</v>
      </c>
      <c r="G737" s="133" t="s">
        <v>465</v>
      </c>
      <c r="H737" s="123"/>
      <c r="I737" s="127"/>
      <c r="J737" s="128"/>
      <c r="K737" s="128"/>
      <c r="L737" s="149"/>
      <c r="M737" s="129">
        <f t="shared" si="36"/>
        <v>36656.922000000006</v>
      </c>
    </row>
    <row r="738" spans="1:13" x14ac:dyDescent="0.2">
      <c r="A738" s="230"/>
      <c r="B738" s="231"/>
      <c r="C738" s="232"/>
      <c r="D738" s="232"/>
      <c r="E738" s="232"/>
      <c r="F738" s="232"/>
      <c r="G738" s="133" t="s">
        <v>466</v>
      </c>
      <c r="H738" s="123"/>
      <c r="I738" s="127"/>
      <c r="J738" s="128"/>
      <c r="K738" s="128"/>
      <c r="L738" s="149">
        <v>800</v>
      </c>
      <c r="M738" s="129">
        <f t="shared" si="36"/>
        <v>35856.922000000006</v>
      </c>
    </row>
    <row r="739" spans="1:13" x14ac:dyDescent="0.2">
      <c r="A739" s="230">
        <v>43438</v>
      </c>
      <c r="B739" s="298">
        <v>8534</v>
      </c>
      <c r="C739" s="300"/>
      <c r="D739" s="301" t="s">
        <v>501</v>
      </c>
      <c r="E739" s="232"/>
      <c r="F739" s="232" t="s">
        <v>467</v>
      </c>
      <c r="G739" s="133" t="s">
        <v>468</v>
      </c>
      <c r="H739" s="123"/>
      <c r="I739" s="127"/>
      <c r="J739" s="128"/>
      <c r="K739" s="128"/>
      <c r="L739" s="149"/>
      <c r="M739" s="129">
        <f t="shared" si="36"/>
        <v>35856.922000000006</v>
      </c>
    </row>
    <row r="740" spans="1:13" x14ac:dyDescent="0.2">
      <c r="A740" s="230"/>
      <c r="B740" s="231"/>
      <c r="C740" s="232"/>
      <c r="D740" s="232"/>
      <c r="E740" s="232"/>
      <c r="F740" s="232"/>
      <c r="G740" s="133" t="s">
        <v>469</v>
      </c>
      <c r="H740" s="123"/>
      <c r="I740" s="127"/>
      <c r="J740" s="128"/>
      <c r="K740" s="128"/>
      <c r="L740" s="149">
        <v>800</v>
      </c>
      <c r="M740" s="129">
        <f t="shared" si="36"/>
        <v>35056.922000000006</v>
      </c>
    </row>
    <row r="741" spans="1:13" x14ac:dyDescent="0.2">
      <c r="A741" s="230">
        <v>43440</v>
      </c>
      <c r="B741" s="298" t="s">
        <v>519</v>
      </c>
      <c r="C741" s="300"/>
      <c r="D741" s="300"/>
      <c r="E741" s="232"/>
      <c r="F741" s="232" t="s">
        <v>470</v>
      </c>
      <c r="G741" s="133" t="s">
        <v>471</v>
      </c>
      <c r="H741" s="123"/>
      <c r="I741" s="127"/>
      <c r="J741" s="128"/>
      <c r="K741" s="128"/>
      <c r="L741" s="149"/>
      <c r="M741" s="129">
        <f t="shared" si="36"/>
        <v>35056.922000000006</v>
      </c>
    </row>
    <row r="742" spans="1:13" x14ac:dyDescent="0.2">
      <c r="A742" s="230"/>
      <c r="B742" s="231"/>
      <c r="C742" s="122"/>
      <c r="D742" s="122"/>
      <c r="E742" s="122"/>
      <c r="F742" s="122"/>
      <c r="G742" s="133" t="s">
        <v>472</v>
      </c>
      <c r="H742" s="123"/>
      <c r="I742" s="127"/>
      <c r="J742" s="128"/>
      <c r="K742" s="128"/>
      <c r="L742" s="149">
        <v>1040</v>
      </c>
      <c r="M742" s="129">
        <f t="shared" si="36"/>
        <v>34016.922000000006</v>
      </c>
    </row>
    <row r="743" spans="1:13" x14ac:dyDescent="0.2">
      <c r="A743" s="230">
        <v>43444</v>
      </c>
      <c r="B743" s="298">
        <v>8930</v>
      </c>
      <c r="C743" s="262"/>
      <c r="D743" s="299">
        <v>4372</v>
      </c>
      <c r="E743" s="122"/>
      <c r="F743" s="122" t="s">
        <v>473</v>
      </c>
      <c r="G743" s="133" t="s">
        <v>474</v>
      </c>
      <c r="H743" s="123"/>
      <c r="I743" s="127"/>
      <c r="J743" s="128"/>
      <c r="K743" s="128"/>
      <c r="L743" s="149"/>
      <c r="M743" s="129">
        <f t="shared" si="36"/>
        <v>34016.922000000006</v>
      </c>
    </row>
    <row r="744" spans="1:13" x14ac:dyDescent="0.2">
      <c r="A744" s="230"/>
      <c r="B744" s="231"/>
      <c r="C744" s="122"/>
      <c r="D744" s="122"/>
      <c r="E744" s="122"/>
      <c r="F744" s="122"/>
      <c r="G744" s="133" t="s">
        <v>475</v>
      </c>
      <c r="H744" s="123"/>
      <c r="I744" s="127"/>
      <c r="J744" s="128"/>
      <c r="K744" s="128"/>
      <c r="L744" s="149">
        <v>780</v>
      </c>
      <c r="M744" s="129">
        <f t="shared" si="36"/>
        <v>33236.922000000006</v>
      </c>
    </row>
    <row r="745" spans="1:13" x14ac:dyDescent="0.2">
      <c r="A745" s="230">
        <v>43447</v>
      </c>
      <c r="B745" s="297"/>
      <c r="C745" s="296" t="s">
        <v>496</v>
      </c>
      <c r="D745" s="262"/>
      <c r="E745" s="122"/>
      <c r="F745" s="122" t="s">
        <v>476</v>
      </c>
      <c r="G745" s="133" t="s">
        <v>477</v>
      </c>
      <c r="H745" s="123"/>
      <c r="I745" s="127"/>
      <c r="J745" s="128"/>
      <c r="K745" s="128"/>
      <c r="L745" s="149">
        <v>1700</v>
      </c>
      <c r="M745" s="129">
        <f t="shared" si="36"/>
        <v>31536.922000000006</v>
      </c>
    </row>
    <row r="746" spans="1:13" x14ac:dyDescent="0.2">
      <c r="A746" s="230"/>
      <c r="B746" s="296" t="s">
        <v>497</v>
      </c>
      <c r="C746" s="262" t="s">
        <v>498</v>
      </c>
      <c r="D746" s="262"/>
      <c r="E746" s="122"/>
      <c r="F746" s="122"/>
      <c r="G746" s="133"/>
      <c r="H746" s="123" t="s">
        <v>478</v>
      </c>
      <c r="I746" s="235"/>
      <c r="J746" s="128"/>
      <c r="K746" s="128"/>
      <c r="L746" s="149">
        <v>950</v>
      </c>
      <c r="M746" s="129">
        <f t="shared" si="36"/>
        <v>30586.922000000006</v>
      </c>
    </row>
    <row r="747" spans="1:13" x14ac:dyDescent="0.2">
      <c r="A747" s="230"/>
      <c r="B747" s="296" t="s">
        <v>494</v>
      </c>
      <c r="C747" s="262" t="s">
        <v>495</v>
      </c>
      <c r="D747" s="262"/>
      <c r="E747" s="122"/>
      <c r="F747" s="122"/>
      <c r="G747" s="133"/>
      <c r="H747" s="123" t="s">
        <v>479</v>
      </c>
      <c r="I747" s="235"/>
      <c r="J747" s="128"/>
      <c r="K747" s="128"/>
      <c r="L747" s="149">
        <v>850</v>
      </c>
      <c r="M747" s="129">
        <f t="shared" si="36"/>
        <v>29736.922000000006</v>
      </c>
    </row>
    <row r="748" spans="1:13" x14ac:dyDescent="0.2">
      <c r="A748" s="230">
        <v>43447</v>
      </c>
      <c r="B748" s="296" t="s">
        <v>517</v>
      </c>
      <c r="C748" s="262"/>
      <c r="D748" s="254" t="s">
        <v>518</v>
      </c>
      <c r="E748" s="122"/>
      <c r="F748" s="122" t="s">
        <v>480</v>
      </c>
      <c r="G748" s="133" t="s">
        <v>481</v>
      </c>
      <c r="H748" s="123"/>
      <c r="I748" s="235"/>
      <c r="J748" s="128"/>
      <c r="K748" s="128"/>
      <c r="L748" s="149"/>
      <c r="M748" s="129">
        <f t="shared" si="36"/>
        <v>29736.922000000006</v>
      </c>
    </row>
    <row r="749" spans="1:13" x14ac:dyDescent="0.2">
      <c r="A749" s="230"/>
      <c r="B749" s="231"/>
      <c r="C749" s="122"/>
      <c r="D749" s="122"/>
      <c r="E749" s="122"/>
      <c r="F749" s="122"/>
      <c r="G749" s="133"/>
      <c r="H749" s="123" t="s">
        <v>482</v>
      </c>
      <c r="I749" s="235"/>
      <c r="J749" s="128"/>
      <c r="K749" s="128"/>
      <c r="L749" s="149">
        <v>2300</v>
      </c>
      <c r="M749" s="129">
        <f t="shared" si="36"/>
        <v>27436.922000000006</v>
      </c>
    </row>
    <row r="750" spans="1:13" x14ac:dyDescent="0.2">
      <c r="A750" s="230">
        <v>43447</v>
      </c>
      <c r="B750" s="231"/>
      <c r="C750" s="122"/>
      <c r="D750" s="122"/>
      <c r="E750" s="122"/>
      <c r="F750" s="122" t="s">
        <v>337</v>
      </c>
      <c r="G750" s="133" t="s">
        <v>483</v>
      </c>
      <c r="H750" s="123"/>
      <c r="I750" s="235"/>
      <c r="J750" s="128"/>
      <c r="K750" s="128"/>
      <c r="L750" s="149">
        <v>300</v>
      </c>
      <c r="M750" s="129">
        <f t="shared" si="36"/>
        <v>27136.922000000006</v>
      </c>
    </row>
    <row r="751" spans="1:13" x14ac:dyDescent="0.2">
      <c r="A751" s="230">
        <v>43454</v>
      </c>
      <c r="B751" s="231"/>
      <c r="C751" s="122"/>
      <c r="D751" s="122"/>
      <c r="E751" s="122"/>
      <c r="F751" s="122" t="s">
        <v>484</v>
      </c>
      <c r="G751" s="147" t="s">
        <v>485</v>
      </c>
      <c r="H751" s="123"/>
      <c r="I751" s="235"/>
      <c r="J751" s="128"/>
      <c r="K751" s="128"/>
      <c r="L751" s="149"/>
      <c r="M751" s="129">
        <f t="shared" si="36"/>
        <v>27136.922000000006</v>
      </c>
    </row>
    <row r="752" spans="1:13" x14ac:dyDescent="0.2">
      <c r="A752" s="230"/>
      <c r="B752" s="231"/>
      <c r="C752" s="122"/>
      <c r="D752" s="122"/>
      <c r="E752" s="122"/>
      <c r="F752" s="122"/>
      <c r="G752" s="147" t="s">
        <v>486</v>
      </c>
      <c r="H752" s="123"/>
      <c r="I752" s="235"/>
      <c r="J752" s="128"/>
      <c r="K752" s="128"/>
      <c r="L752" s="149">
        <v>1100</v>
      </c>
      <c r="M752" s="129">
        <f t="shared" si="36"/>
        <v>26036.922000000006</v>
      </c>
    </row>
    <row r="753" spans="1:13" x14ac:dyDescent="0.2">
      <c r="A753" s="230"/>
      <c r="B753" s="231"/>
      <c r="C753" s="122"/>
      <c r="D753" s="122"/>
      <c r="E753" s="122"/>
      <c r="F753" s="122"/>
      <c r="G753" s="147" t="s">
        <v>487</v>
      </c>
      <c r="H753" s="123"/>
      <c r="I753" s="235"/>
      <c r="J753" s="128"/>
      <c r="K753" s="128"/>
      <c r="L753" s="149">
        <v>1100</v>
      </c>
      <c r="M753" s="129">
        <f t="shared" si="36"/>
        <v>24936.922000000006</v>
      </c>
    </row>
    <row r="754" spans="1:13" x14ac:dyDescent="0.2">
      <c r="A754" s="230">
        <v>43455</v>
      </c>
      <c r="B754" s="231"/>
      <c r="C754" s="122"/>
      <c r="D754" s="122"/>
      <c r="E754" s="122"/>
      <c r="F754" s="122" t="s">
        <v>488</v>
      </c>
      <c r="G754" s="133" t="s">
        <v>489</v>
      </c>
      <c r="H754" s="123"/>
      <c r="I754" s="235"/>
      <c r="J754" s="128"/>
      <c r="K754" s="128"/>
      <c r="L754" s="149"/>
      <c r="M754" s="129">
        <f t="shared" si="36"/>
        <v>24936.922000000006</v>
      </c>
    </row>
    <row r="755" spans="1:13" x14ac:dyDescent="0.2">
      <c r="A755" s="230"/>
      <c r="B755" s="231"/>
      <c r="C755" s="122"/>
      <c r="D755" s="122"/>
      <c r="E755" s="122"/>
      <c r="F755" s="122"/>
      <c r="G755" s="133" t="s">
        <v>490</v>
      </c>
      <c r="H755" s="123"/>
      <c r="I755" s="235"/>
      <c r="J755" s="128"/>
      <c r="K755" s="128"/>
      <c r="L755" s="149">
        <v>1040</v>
      </c>
      <c r="M755" s="129">
        <f t="shared" si="36"/>
        <v>23896.922000000006</v>
      </c>
    </row>
    <row r="756" spans="1:13" x14ac:dyDescent="0.2">
      <c r="A756" s="230"/>
      <c r="B756" s="231"/>
      <c r="C756" s="122"/>
      <c r="D756" s="122"/>
      <c r="E756" s="122"/>
      <c r="F756" s="122"/>
      <c r="G756" s="133" t="s">
        <v>491</v>
      </c>
      <c r="H756" s="123"/>
      <c r="I756" s="235"/>
      <c r="J756" s="128"/>
      <c r="K756" s="128"/>
      <c r="L756" s="149">
        <v>1040</v>
      </c>
      <c r="M756" s="129">
        <f t="shared" si="36"/>
        <v>22856.922000000006</v>
      </c>
    </row>
    <row r="757" spans="1:13" x14ac:dyDescent="0.2">
      <c r="A757" s="230"/>
      <c r="B757" s="231"/>
      <c r="C757" s="122"/>
      <c r="D757" s="122"/>
      <c r="E757" s="122"/>
      <c r="F757" s="122"/>
      <c r="G757" s="133"/>
      <c r="H757" s="123"/>
      <c r="I757" s="235"/>
      <c r="J757" s="128"/>
      <c r="K757" s="128"/>
      <c r="L757" s="149"/>
      <c r="M757" s="129">
        <f t="shared" si="36"/>
        <v>22856.922000000006</v>
      </c>
    </row>
    <row r="758" spans="1:13" x14ac:dyDescent="0.2">
      <c r="A758" s="230"/>
      <c r="B758" s="231"/>
      <c r="C758" s="232"/>
      <c r="D758" s="232"/>
      <c r="E758" s="232"/>
      <c r="F758" s="232"/>
      <c r="G758" s="233"/>
      <c r="H758" s="234"/>
      <c r="I758" s="235"/>
      <c r="J758" s="128"/>
      <c r="K758" s="128"/>
      <c r="L758" s="149"/>
      <c r="M758" s="129"/>
    </row>
    <row r="759" spans="1:13" ht="13.5" thickBot="1" x14ac:dyDescent="0.25">
      <c r="A759" s="238"/>
      <c r="B759" s="239"/>
      <c r="C759" s="240"/>
      <c r="D759" s="240"/>
      <c r="E759" s="241"/>
      <c r="F759" s="242"/>
      <c r="G759" s="243"/>
      <c r="H759" s="244" t="s">
        <v>250</v>
      </c>
      <c r="I759" s="161">
        <f>SUM(I698:I734)</f>
        <v>15709</v>
      </c>
      <c r="J759" s="245">
        <f>SUM(J698:J734)</f>
        <v>5026.88</v>
      </c>
      <c r="K759" s="246">
        <f>SUM(K698:K732)</f>
        <v>10682.12</v>
      </c>
      <c r="L759" s="247">
        <f>SUM(L735:L756)</f>
        <v>15880</v>
      </c>
      <c r="M759" s="248"/>
    </row>
    <row r="760" spans="1:13" ht="13.5" thickBot="1" x14ac:dyDescent="0.25">
      <c r="A760" s="166"/>
      <c r="C760" s="168"/>
      <c r="D760" s="168"/>
      <c r="E760" s="169"/>
      <c r="F760" s="170"/>
      <c r="G760" s="171"/>
      <c r="H760" s="160" t="s">
        <v>13</v>
      </c>
      <c r="I760" s="172"/>
      <c r="J760" s="173"/>
      <c r="K760" s="174"/>
      <c r="L760" s="174"/>
      <c r="M760" s="175">
        <f>+K759-L759+M697</f>
        <v>22856.92200000002</v>
      </c>
    </row>
    <row r="761" spans="1:13" x14ac:dyDescent="0.2">
      <c r="A761" s="166"/>
      <c r="C761" s="168"/>
      <c r="D761" s="168"/>
      <c r="E761" s="169"/>
      <c r="F761" s="170"/>
      <c r="G761" s="171"/>
      <c r="H761" s="171"/>
      <c r="I761" s="189"/>
      <c r="J761" s="188"/>
      <c r="K761" s="180"/>
      <c r="L761" s="180"/>
      <c r="M761" s="189"/>
    </row>
    <row r="762" spans="1:13" x14ac:dyDescent="0.2">
      <c r="A762" s="166"/>
      <c r="C762" s="168"/>
      <c r="D762" s="168"/>
      <c r="E762" s="169"/>
      <c r="F762" s="170"/>
      <c r="G762" s="171"/>
      <c r="H762" s="171"/>
      <c r="I762" s="189"/>
      <c r="J762" s="188"/>
      <c r="K762" s="180"/>
      <c r="L762" s="180"/>
      <c r="M762" s="189"/>
    </row>
    <row r="763" spans="1:13" x14ac:dyDescent="0.2">
      <c r="A763" s="166"/>
      <c r="C763" s="168"/>
      <c r="D763" s="168"/>
      <c r="E763" s="169"/>
      <c r="F763" s="170"/>
      <c r="G763" s="171"/>
      <c r="H763" s="171"/>
      <c r="I763" s="189"/>
      <c r="J763" s="188"/>
      <c r="K763" s="180"/>
      <c r="L763" s="180"/>
      <c r="M763" s="189"/>
    </row>
    <row r="764" spans="1:13" ht="15" x14ac:dyDescent="0.25">
      <c r="B764"/>
      <c r="C764" s="265"/>
      <c r="D764" s="265"/>
      <c r="E764" s="265"/>
      <c r="F764" s="515" t="s">
        <v>15</v>
      </c>
      <c r="G764" s="515"/>
      <c r="H764" s="515"/>
      <c r="I764" s="515"/>
      <c r="J764" s="515"/>
      <c r="K764" s="515"/>
      <c r="L764" s="266"/>
      <c r="M764" s="114"/>
    </row>
    <row r="765" spans="1:13" ht="15" x14ac:dyDescent="0.25">
      <c r="B765" s="114"/>
      <c r="C765" s="114"/>
      <c r="D765" s="114"/>
      <c r="E765" s="114"/>
      <c r="F765" s="516"/>
      <c r="G765" s="516"/>
      <c r="H765" s="516"/>
      <c r="I765" s="516"/>
      <c r="J765" s="516"/>
      <c r="K765" s="516"/>
      <c r="L765" s="266"/>
      <c r="M765" s="114"/>
    </row>
    <row r="766" spans="1:13" ht="15" x14ac:dyDescent="0.25">
      <c r="B766" s="114"/>
      <c r="C766" s="114"/>
      <c r="D766" s="114"/>
      <c r="E766" s="114"/>
      <c r="F766" s="517" t="s">
        <v>16</v>
      </c>
      <c r="G766" s="518"/>
      <c r="H766" s="518"/>
      <c r="I766" s="518"/>
      <c r="J766" s="518"/>
      <c r="K766" s="519"/>
      <c r="L766" s="266"/>
      <c r="M766" s="114"/>
    </row>
    <row r="767" spans="1:13" ht="15" x14ac:dyDescent="0.25">
      <c r="B767" s="114"/>
      <c r="C767" s="114"/>
      <c r="D767" s="114"/>
      <c r="E767" s="114"/>
      <c r="F767" s="267"/>
      <c r="G767" s="103" t="s">
        <v>17</v>
      </c>
      <c r="H767" s="103" t="s">
        <v>18</v>
      </c>
      <c r="I767" s="268" t="s">
        <v>19</v>
      </c>
      <c r="J767" s="1" t="s">
        <v>20</v>
      </c>
      <c r="K767" s="103" t="s">
        <v>21</v>
      </c>
      <c r="L767" s="266"/>
      <c r="M767" s="266"/>
    </row>
    <row r="768" spans="1:13" ht="15" x14ac:dyDescent="0.25">
      <c r="B768" s="114"/>
      <c r="C768" s="114"/>
      <c r="D768" s="114"/>
      <c r="E768" s="114"/>
      <c r="F768" s="269" t="s">
        <v>5</v>
      </c>
      <c r="G768" s="103" t="s">
        <v>7</v>
      </c>
      <c r="H768" s="103" t="s">
        <v>8</v>
      </c>
      <c r="I768" s="268" t="s">
        <v>9</v>
      </c>
      <c r="J768" s="1" t="s">
        <v>22</v>
      </c>
      <c r="K768" s="6" t="s">
        <v>23</v>
      </c>
      <c r="L768" s="266"/>
      <c r="M768" s="266"/>
    </row>
    <row r="769" spans="1:13" ht="15" x14ac:dyDescent="0.25">
      <c r="B769" s="114"/>
      <c r="C769" s="114"/>
      <c r="D769" s="114"/>
      <c r="E769" s="114"/>
      <c r="F769" s="270" t="s">
        <v>24</v>
      </c>
      <c r="G769" s="271"/>
      <c r="H769" s="271"/>
      <c r="I769" s="272"/>
      <c r="J769" s="2"/>
      <c r="K769" s="103"/>
      <c r="L769" s="266"/>
      <c r="M769" s="266"/>
    </row>
    <row r="770" spans="1:13" ht="15" x14ac:dyDescent="0.25">
      <c r="B770" s="114"/>
      <c r="C770" s="114"/>
      <c r="D770" s="114"/>
      <c r="E770" s="114"/>
      <c r="F770" s="273" t="s">
        <v>25</v>
      </c>
      <c r="G770" s="101">
        <f>+I86</f>
        <v>50195</v>
      </c>
      <c r="H770" s="101">
        <f>+J86</f>
        <v>16062.399999999998</v>
      </c>
      <c r="I770" s="102">
        <f>+K86</f>
        <v>34132.600000000013</v>
      </c>
      <c r="J770" s="3">
        <f>+L86</f>
        <v>22102.400000000001</v>
      </c>
      <c r="K770" s="103">
        <f t="shared" ref="K770:K780" si="38">+I770-J770+K769</f>
        <v>12030.200000000012</v>
      </c>
      <c r="L770" s="266"/>
      <c r="M770" s="114"/>
    </row>
    <row r="771" spans="1:13" ht="15" x14ac:dyDescent="0.25">
      <c r="B771" s="114"/>
      <c r="C771" s="114"/>
      <c r="D771" s="114"/>
      <c r="E771" s="114"/>
      <c r="F771" s="273" t="s">
        <v>14</v>
      </c>
      <c r="G771" s="101">
        <f>+I159:I159</f>
        <v>20433</v>
      </c>
      <c r="H771" s="101">
        <f>+J159</f>
        <v>6538.5599999999995</v>
      </c>
      <c r="I771" s="102">
        <f>+K159</f>
        <v>13894.440000000002</v>
      </c>
      <c r="J771" s="3">
        <f>+L159</f>
        <v>10121</v>
      </c>
      <c r="K771" s="103">
        <f t="shared" si="38"/>
        <v>15803.640000000014</v>
      </c>
      <c r="L771" s="266"/>
      <c r="M771" s="266"/>
    </row>
    <row r="772" spans="1:13" ht="15" x14ac:dyDescent="0.25">
      <c r="A772" s="114"/>
      <c r="B772" s="114"/>
      <c r="C772" s="114"/>
      <c r="D772" s="114"/>
      <c r="E772" s="114"/>
      <c r="F772" s="274" t="s">
        <v>26</v>
      </c>
      <c r="G772" s="101">
        <f>+I217</f>
        <v>14478</v>
      </c>
      <c r="H772" s="101">
        <f>+J217</f>
        <v>4632.9599999999982</v>
      </c>
      <c r="I772" s="102">
        <f>+K217</f>
        <v>9845.0399999999972</v>
      </c>
      <c r="J772" s="3">
        <f>+L217</f>
        <v>11651.869999999999</v>
      </c>
      <c r="K772" s="103">
        <f t="shared" si="38"/>
        <v>13996.810000000012</v>
      </c>
      <c r="L772" s="266"/>
      <c r="M772" s="114"/>
    </row>
    <row r="773" spans="1:13" ht="15" x14ac:dyDescent="0.25">
      <c r="A773" s="114"/>
      <c r="B773" s="114"/>
      <c r="C773" s="114"/>
      <c r="D773" s="114"/>
      <c r="E773" s="114"/>
      <c r="F773" s="273" t="s">
        <v>27</v>
      </c>
      <c r="G773" s="101">
        <f>I289</f>
        <v>28380.5</v>
      </c>
      <c r="H773" s="101">
        <f>J289</f>
        <v>9081.76</v>
      </c>
      <c r="I773" s="102">
        <f>K289</f>
        <v>19298.740000000002</v>
      </c>
      <c r="J773" s="3">
        <f>L289</f>
        <v>19573.2</v>
      </c>
      <c r="K773" s="103">
        <f t="shared" si="38"/>
        <v>13722.350000000013</v>
      </c>
      <c r="L773" s="266"/>
      <c r="M773" s="114"/>
    </row>
    <row r="774" spans="1:13" ht="15" x14ac:dyDescent="0.25">
      <c r="A774" s="114"/>
      <c r="B774" s="114"/>
      <c r="C774" s="114"/>
      <c r="D774" s="114"/>
      <c r="E774" s="114"/>
      <c r="F774" s="273" t="s">
        <v>28</v>
      </c>
      <c r="G774" s="101">
        <f>I342</f>
        <v>12190</v>
      </c>
      <c r="H774" s="101">
        <f>J342</f>
        <v>3900.7999999999993</v>
      </c>
      <c r="I774" s="102">
        <f>K342</f>
        <v>8289.2000000000007</v>
      </c>
      <c r="J774" s="3">
        <f>L342</f>
        <v>12020</v>
      </c>
      <c r="K774" s="103">
        <f t="shared" si="38"/>
        <v>9991.5500000000138</v>
      </c>
      <c r="L774" s="266"/>
      <c r="M774" s="114"/>
    </row>
    <row r="775" spans="1:13" ht="15" x14ac:dyDescent="0.25">
      <c r="A775" s="114"/>
      <c r="B775" s="114"/>
      <c r="C775" s="114"/>
      <c r="D775" s="114"/>
      <c r="E775" s="114"/>
      <c r="F775" s="273" t="s">
        <v>29</v>
      </c>
      <c r="G775" s="101">
        <f>I385</f>
        <v>10224</v>
      </c>
      <c r="H775" s="101">
        <f>J385</f>
        <v>3271.6799999999994</v>
      </c>
      <c r="I775" s="102">
        <f>K385</f>
        <v>6952.32</v>
      </c>
      <c r="J775" s="3">
        <f>L385</f>
        <v>9856.68</v>
      </c>
      <c r="K775" s="103">
        <f t="shared" si="38"/>
        <v>7087.1900000000132</v>
      </c>
      <c r="L775" s="266"/>
      <c r="M775" s="114"/>
    </row>
    <row r="776" spans="1:13" ht="15" x14ac:dyDescent="0.25">
      <c r="A776" s="114"/>
      <c r="B776" s="114"/>
      <c r="C776" s="114"/>
      <c r="D776" s="114"/>
      <c r="E776" s="114"/>
      <c r="F776" s="273" t="s">
        <v>30</v>
      </c>
      <c r="G776" s="101">
        <f>I432</f>
        <v>9591</v>
      </c>
      <c r="H776" s="101">
        <f>J432</f>
        <v>3069.1200000000003</v>
      </c>
      <c r="I776" s="102">
        <f>K432</f>
        <v>6521.8799999999992</v>
      </c>
      <c r="J776" s="3">
        <f>L432</f>
        <v>12300</v>
      </c>
      <c r="K776" s="103">
        <f t="shared" si="38"/>
        <v>1309.0700000000124</v>
      </c>
      <c r="L776" s="266"/>
      <c r="M776" s="114"/>
    </row>
    <row r="777" spans="1:13" ht="15" x14ac:dyDescent="0.25">
      <c r="A777" s="114"/>
      <c r="B777" s="114"/>
      <c r="C777" s="114"/>
      <c r="D777" s="114"/>
      <c r="E777" s="114"/>
      <c r="F777" s="273" t="s">
        <v>31</v>
      </c>
      <c r="G777" s="101">
        <f>I501</f>
        <v>22515</v>
      </c>
      <c r="H777" s="101">
        <f>J501</f>
        <v>7204.8</v>
      </c>
      <c r="I777" s="102">
        <f>K501</f>
        <v>15310.200000000003</v>
      </c>
      <c r="J777" s="3">
        <f>L501</f>
        <v>3800</v>
      </c>
      <c r="K777" s="103">
        <f t="shared" si="38"/>
        <v>12819.270000000015</v>
      </c>
      <c r="L777" s="266"/>
      <c r="M777" s="114"/>
    </row>
    <row r="778" spans="1:13" ht="15" x14ac:dyDescent="0.25">
      <c r="A778" s="114"/>
      <c r="B778" s="114"/>
      <c r="C778" s="114"/>
      <c r="D778" s="114"/>
      <c r="E778" s="114"/>
      <c r="F778" s="273" t="s">
        <v>32</v>
      </c>
      <c r="G778" s="101">
        <f>I564</f>
        <v>18708</v>
      </c>
      <c r="H778" s="101">
        <f>J564</f>
        <v>5986.5599999999986</v>
      </c>
      <c r="I778" s="102">
        <f>K564</f>
        <v>12721.440000000004</v>
      </c>
      <c r="J778" s="3">
        <f>L564</f>
        <v>4600</v>
      </c>
      <c r="K778" s="103">
        <f t="shared" si="38"/>
        <v>20940.710000000021</v>
      </c>
      <c r="L778" s="266"/>
      <c r="M778" s="114"/>
    </row>
    <row r="779" spans="1:13" ht="15" x14ac:dyDescent="0.25">
      <c r="A779" s="114"/>
      <c r="B779" s="114"/>
      <c r="C779" s="114"/>
      <c r="D779" s="114"/>
      <c r="E779" s="114"/>
      <c r="F779" s="273" t="s">
        <v>33</v>
      </c>
      <c r="G779" s="101">
        <f>I628</f>
        <v>17102</v>
      </c>
      <c r="H779" s="101">
        <f>J628</f>
        <v>5472.64</v>
      </c>
      <c r="I779" s="102">
        <f>K628</f>
        <v>11629.359999999999</v>
      </c>
      <c r="J779" s="4">
        <f>L628</f>
        <v>5440</v>
      </c>
      <c r="K779" s="103">
        <f t="shared" si="38"/>
        <v>27130.070000000022</v>
      </c>
      <c r="L779" s="266"/>
      <c r="M779" s="114"/>
    </row>
    <row r="780" spans="1:13" ht="15" x14ac:dyDescent="0.25">
      <c r="A780" s="114"/>
      <c r="B780" s="114"/>
      <c r="C780" s="114"/>
      <c r="D780" s="114"/>
      <c r="E780" s="114"/>
      <c r="F780" s="273" t="s">
        <v>34</v>
      </c>
      <c r="G780" s="101">
        <f>I690</f>
        <v>14859.9</v>
      </c>
      <c r="H780" s="101">
        <f>J690</f>
        <v>4755.1679999999997</v>
      </c>
      <c r="I780" s="102">
        <f>K690</f>
        <v>10104.731999999998</v>
      </c>
      <c r="J780" s="4">
        <f>L690</f>
        <v>9180</v>
      </c>
      <c r="K780" s="103">
        <f t="shared" si="38"/>
        <v>28054.802000000018</v>
      </c>
      <c r="L780" s="266"/>
      <c r="M780" s="114"/>
    </row>
    <row r="781" spans="1:13" ht="15" x14ac:dyDescent="0.25">
      <c r="A781" s="114"/>
      <c r="B781" s="114"/>
      <c r="C781" s="114"/>
      <c r="D781" s="114"/>
      <c r="E781" s="114"/>
      <c r="F781" s="273" t="s">
        <v>35</v>
      </c>
      <c r="G781" s="101">
        <f>I759</f>
        <v>15709</v>
      </c>
      <c r="H781" s="101">
        <f>J759</f>
        <v>5026.88</v>
      </c>
      <c r="I781" s="102">
        <f>K759</f>
        <v>10682.12</v>
      </c>
      <c r="J781" s="4">
        <f>L759</f>
        <v>15880</v>
      </c>
      <c r="K781" s="103">
        <f>+I781-J781+K780</f>
        <v>22856.92200000002</v>
      </c>
      <c r="L781" s="266"/>
      <c r="M781" s="114"/>
    </row>
    <row r="782" spans="1:13" ht="15" x14ac:dyDescent="0.25">
      <c r="A782" s="114"/>
      <c r="B782" s="114"/>
      <c r="C782" s="114"/>
      <c r="D782" s="114"/>
      <c r="E782" s="114"/>
      <c r="F782" s="126" t="s">
        <v>36</v>
      </c>
      <c r="G782" s="101">
        <f>SUM(G770:G781)</f>
        <v>234385.4</v>
      </c>
      <c r="H782" s="101">
        <f>SUM(H770:H781)</f>
        <v>75003.328000000009</v>
      </c>
      <c r="I782" s="268">
        <f>SUM(I770:I781)</f>
        <v>159382.07200000001</v>
      </c>
      <c r="J782" s="5">
        <f>SUM(J770:J781)</f>
        <v>136525.15</v>
      </c>
      <c r="K782" s="9"/>
      <c r="L782" s="275"/>
      <c r="M782" s="114"/>
    </row>
    <row r="783" spans="1:13" ht="15" x14ac:dyDescent="0.25">
      <c r="A783" s="114"/>
      <c r="B783" s="114"/>
      <c r="C783" s="114"/>
      <c r="D783" s="114"/>
      <c r="E783" s="114"/>
      <c r="F783" s="276" t="s">
        <v>37</v>
      </c>
      <c r="G783" s="277"/>
      <c r="I783" s="177"/>
      <c r="J783" s="278"/>
      <c r="K783" s="266"/>
      <c r="M783" s="114"/>
    </row>
    <row r="784" spans="1:13" ht="15" x14ac:dyDescent="0.25">
      <c r="A784" s="114"/>
      <c r="B784" s="114"/>
      <c r="C784" s="114"/>
      <c r="D784" s="114"/>
      <c r="E784" s="114"/>
      <c r="F784" s="279" t="s">
        <v>38</v>
      </c>
      <c r="G784" s="280"/>
      <c r="I784" s="281"/>
      <c r="J784" s="265"/>
      <c r="K784" s="278"/>
      <c r="L784" s="266"/>
      <c r="M784" s="114"/>
    </row>
    <row r="785" spans="1:14" ht="15" x14ac:dyDescent="0.25">
      <c r="A785" s="114"/>
      <c r="B785" s="114"/>
      <c r="C785" s="114"/>
      <c r="D785" s="114"/>
      <c r="E785" s="114"/>
      <c r="F785" s="282" t="s">
        <v>39</v>
      </c>
      <c r="G785" s="283" t="s">
        <v>40</v>
      </c>
      <c r="J785" s="283"/>
      <c r="K785" s="278"/>
      <c r="L785" s="266"/>
      <c r="M785" s="114"/>
    </row>
    <row r="786" spans="1:14" ht="15" customHeight="1" x14ac:dyDescent="0.2">
      <c r="A786" s="114"/>
      <c r="B786" s="114"/>
      <c r="C786" s="114"/>
      <c r="D786" s="114"/>
      <c r="E786" s="114"/>
      <c r="F786" s="284" t="s">
        <v>41</v>
      </c>
      <c r="G786" s="114" t="s">
        <v>42</v>
      </c>
      <c r="H786" s="114"/>
      <c r="I786" s="114"/>
      <c r="M786" s="114"/>
    </row>
    <row r="787" spans="1:14" ht="19.5" thickBot="1" x14ac:dyDescent="0.35">
      <c r="A787" s="114"/>
      <c r="B787" s="114"/>
      <c r="C787" s="114"/>
      <c r="D787" s="114"/>
      <c r="E787" s="114"/>
      <c r="F787" s="282" t="s">
        <v>43</v>
      </c>
      <c r="G787" s="285" t="s">
        <v>44</v>
      </c>
      <c r="H787" s="118">
        <f>+I782</f>
        <v>159382.07200000001</v>
      </c>
      <c r="I787" s="286" t="s">
        <v>45</v>
      </c>
      <c r="J787" s="287">
        <f>+J782</f>
        <v>136525.15</v>
      </c>
      <c r="K787" s="288" t="s">
        <v>45</v>
      </c>
      <c r="L787" s="289">
        <f>+K769</f>
        <v>0</v>
      </c>
      <c r="M787" s="290" t="s">
        <v>46</v>
      </c>
      <c r="N787" s="180">
        <f>+H787-J787+L787</f>
        <v>22856.92200000002</v>
      </c>
    </row>
    <row r="788" spans="1:14" ht="13.5" thickTop="1" x14ac:dyDescent="0.2">
      <c r="A788" s="114"/>
      <c r="B788" s="114"/>
      <c r="C788" s="114"/>
      <c r="D788" s="114"/>
      <c r="E788" s="114"/>
      <c r="F788" s="114"/>
      <c r="I788" s="114"/>
      <c r="M788" s="114"/>
    </row>
    <row r="789" spans="1:14" x14ac:dyDescent="0.2">
      <c r="A789" s="114"/>
      <c r="G789" s="291" t="s">
        <v>47</v>
      </c>
      <c r="H789" s="73"/>
      <c r="I789" s="73"/>
      <c r="J789" s="73"/>
      <c r="K789" s="177"/>
      <c r="L789" s="280"/>
      <c r="M789" s="114"/>
    </row>
    <row r="790" spans="1:14" x14ac:dyDescent="0.2">
      <c r="A790" s="114"/>
      <c r="M790" s="114"/>
    </row>
    <row r="791" spans="1:14" x14ac:dyDescent="0.2">
      <c r="A791" s="114"/>
      <c r="M791" s="114"/>
    </row>
    <row r="792" spans="1:14" x14ac:dyDescent="0.2">
      <c r="A792" s="114"/>
      <c r="M792" s="114"/>
    </row>
    <row r="793" spans="1:14" x14ac:dyDescent="0.2">
      <c r="A793" s="114"/>
      <c r="M793" s="114"/>
    </row>
    <row r="794" spans="1:14" x14ac:dyDescent="0.2">
      <c r="A794" s="114"/>
      <c r="M794" s="114"/>
    </row>
    <row r="795" spans="1:14" x14ac:dyDescent="0.2">
      <c r="A795" s="114"/>
      <c r="M795" s="114"/>
    </row>
    <row r="796" spans="1:14" x14ac:dyDescent="0.2">
      <c r="A796" s="114"/>
      <c r="M796" s="114"/>
    </row>
    <row r="797" spans="1:14" x14ac:dyDescent="0.2">
      <c r="A797" s="114"/>
      <c r="M797" s="114"/>
    </row>
    <row r="798" spans="1:14" x14ac:dyDescent="0.2">
      <c r="A798" s="114"/>
      <c r="M798" s="114"/>
    </row>
    <row r="799" spans="1:14" x14ac:dyDescent="0.2">
      <c r="A799" s="114"/>
      <c r="M799" s="114"/>
    </row>
    <row r="800" spans="1:14" x14ac:dyDescent="0.2">
      <c r="A800" s="114"/>
      <c r="M800" s="114"/>
    </row>
    <row r="801" spans="1:13" x14ac:dyDescent="0.2">
      <c r="A801" s="114"/>
      <c r="M801" s="114"/>
    </row>
    <row r="802" spans="1:13" x14ac:dyDescent="0.2">
      <c r="A802" s="114"/>
      <c r="M802" s="114"/>
    </row>
    <row r="803" spans="1:13" x14ac:dyDescent="0.2">
      <c r="A803" s="114"/>
      <c r="M803" s="114"/>
    </row>
    <row r="804" spans="1:13" x14ac:dyDescent="0.2">
      <c r="A804" s="114"/>
      <c r="B804" s="114"/>
      <c r="C804" s="114"/>
      <c r="D804" s="114"/>
      <c r="E804" s="114"/>
      <c r="F804" s="114"/>
      <c r="M804" s="114"/>
    </row>
    <row r="805" spans="1:13" x14ac:dyDescent="0.2">
      <c r="A805" s="114"/>
      <c r="B805" s="114"/>
      <c r="C805" s="114"/>
      <c r="D805" s="114"/>
      <c r="E805" s="114"/>
      <c r="F805" s="114"/>
      <c r="M805" s="114"/>
    </row>
    <row r="806" spans="1:13" x14ac:dyDescent="0.2">
      <c r="A806" s="114"/>
      <c r="B806" s="114"/>
      <c r="C806" s="114"/>
      <c r="D806" s="114"/>
      <c r="E806" s="114"/>
      <c r="F806" s="114"/>
      <c r="M806" s="114"/>
    </row>
    <row r="807" spans="1:13" x14ac:dyDescent="0.2">
      <c r="A807" s="114"/>
      <c r="B807" s="114"/>
      <c r="C807" s="114"/>
      <c r="D807" s="114"/>
      <c r="E807" s="114"/>
      <c r="F807" s="114"/>
      <c r="M807" s="114"/>
    </row>
    <row r="808" spans="1:13" x14ac:dyDescent="0.2">
      <c r="A808" s="114"/>
      <c r="B808" s="114"/>
      <c r="C808" s="114"/>
      <c r="D808" s="114"/>
      <c r="E808" s="114"/>
      <c r="F808" s="114"/>
      <c r="M808" s="114"/>
    </row>
    <row r="809" spans="1:13" x14ac:dyDescent="0.2">
      <c r="A809" s="114"/>
      <c r="B809" s="114"/>
      <c r="C809" s="114"/>
      <c r="D809" s="114"/>
      <c r="E809" s="114"/>
      <c r="F809" s="114"/>
      <c r="M809" s="114"/>
    </row>
    <row r="810" spans="1:13" x14ac:dyDescent="0.2">
      <c r="A810" s="114"/>
      <c r="B810" s="114"/>
      <c r="C810" s="114"/>
      <c r="D810" s="114"/>
      <c r="E810" s="114"/>
      <c r="F810" s="114"/>
      <c r="M810" s="114"/>
    </row>
    <row r="811" spans="1:13" x14ac:dyDescent="0.2">
      <c r="A811" s="114"/>
      <c r="B811" s="114"/>
      <c r="C811" s="114"/>
      <c r="D811" s="114"/>
      <c r="E811" s="114"/>
      <c r="F811" s="114"/>
      <c r="M811" s="114"/>
    </row>
    <row r="812" spans="1:13" x14ac:dyDescent="0.2">
      <c r="A812" s="114"/>
      <c r="B812" s="114"/>
      <c r="C812" s="114"/>
      <c r="D812" s="114"/>
      <c r="E812" s="114"/>
      <c r="F812" s="114"/>
      <c r="M812" s="114"/>
    </row>
    <row r="813" spans="1:13" x14ac:dyDescent="0.2">
      <c r="A813" s="114"/>
      <c r="B813" s="114"/>
      <c r="C813" s="114"/>
      <c r="D813" s="114"/>
      <c r="E813" s="114"/>
      <c r="F813" s="114"/>
      <c r="M813" s="114"/>
    </row>
    <row r="814" spans="1:13" x14ac:dyDescent="0.2">
      <c r="A814" s="114"/>
      <c r="B814" s="114"/>
      <c r="C814" s="114"/>
      <c r="D814" s="114"/>
      <c r="E814" s="114"/>
      <c r="F814" s="114"/>
      <c r="M814" s="114"/>
    </row>
    <row r="815" spans="1:13" x14ac:dyDescent="0.2">
      <c r="A815" s="114"/>
      <c r="B815" s="114"/>
      <c r="C815" s="114"/>
      <c r="D815" s="114"/>
      <c r="E815" s="114"/>
      <c r="F815" s="114"/>
      <c r="M815" s="114"/>
    </row>
    <row r="816" spans="1:13" x14ac:dyDescent="0.2">
      <c r="A816" s="114"/>
      <c r="B816" s="114"/>
      <c r="C816" s="114"/>
      <c r="D816" s="114"/>
      <c r="E816" s="114"/>
      <c r="F816" s="114"/>
      <c r="M816" s="114"/>
    </row>
    <row r="817" spans="7:9" s="114" customFormat="1" x14ac:dyDescent="0.2">
      <c r="G817" s="178"/>
      <c r="H817" s="178"/>
      <c r="I817" s="179"/>
    </row>
    <row r="818" spans="7:9" s="114" customFormat="1" x14ac:dyDescent="0.2">
      <c r="G818" s="178"/>
      <c r="H818" s="178"/>
      <c r="I818" s="179"/>
    </row>
    <row r="819" spans="7:9" s="114" customFormat="1" x14ac:dyDescent="0.2">
      <c r="G819" s="178"/>
      <c r="H819" s="178"/>
      <c r="I819" s="179"/>
    </row>
    <row r="820" spans="7:9" s="114" customFormat="1" x14ac:dyDescent="0.2">
      <c r="G820" s="178"/>
      <c r="H820" s="178"/>
      <c r="I820" s="179"/>
    </row>
    <row r="821" spans="7:9" s="114" customFormat="1" x14ac:dyDescent="0.2">
      <c r="G821" s="178"/>
      <c r="H821" s="178"/>
      <c r="I821" s="179"/>
    </row>
    <row r="822" spans="7:9" s="114" customFormat="1" x14ac:dyDescent="0.2">
      <c r="G822" s="178"/>
      <c r="H822" s="178"/>
      <c r="I822" s="179"/>
    </row>
    <row r="823" spans="7:9" s="114" customFormat="1" x14ac:dyDescent="0.2">
      <c r="G823" s="178"/>
      <c r="H823" s="178"/>
      <c r="I823" s="179"/>
    </row>
    <row r="824" spans="7:9" s="114" customFormat="1" x14ac:dyDescent="0.2">
      <c r="G824" s="178"/>
      <c r="H824" s="178"/>
      <c r="I824" s="179"/>
    </row>
    <row r="825" spans="7:9" s="114" customFormat="1" x14ac:dyDescent="0.2">
      <c r="G825" s="178"/>
      <c r="H825" s="178"/>
      <c r="I825" s="179"/>
    </row>
    <row r="826" spans="7:9" s="114" customFormat="1" x14ac:dyDescent="0.2">
      <c r="G826" s="178"/>
      <c r="H826" s="178"/>
      <c r="I826" s="179"/>
    </row>
    <row r="827" spans="7:9" s="114" customFormat="1" x14ac:dyDescent="0.2">
      <c r="G827" s="178"/>
      <c r="H827" s="178"/>
      <c r="I827" s="179"/>
    </row>
    <row r="828" spans="7:9" s="114" customFormat="1" x14ac:dyDescent="0.2">
      <c r="G828" s="178"/>
      <c r="H828" s="178"/>
      <c r="I828" s="179"/>
    </row>
    <row r="829" spans="7:9" s="114" customFormat="1" x14ac:dyDescent="0.2">
      <c r="G829" s="178"/>
      <c r="H829" s="178"/>
      <c r="I829" s="179"/>
    </row>
    <row r="830" spans="7:9" s="114" customFormat="1" x14ac:dyDescent="0.2">
      <c r="G830" s="178"/>
      <c r="H830" s="178"/>
      <c r="I830" s="179"/>
    </row>
    <row r="831" spans="7:9" s="114" customFormat="1" x14ac:dyDescent="0.2">
      <c r="G831" s="178"/>
      <c r="H831" s="178"/>
      <c r="I831" s="179"/>
    </row>
    <row r="832" spans="7:9" s="114" customFormat="1" x14ac:dyDescent="0.2">
      <c r="G832" s="178"/>
      <c r="H832" s="178"/>
      <c r="I832" s="179"/>
    </row>
    <row r="833" spans="7:9" s="114" customFormat="1" x14ac:dyDescent="0.2">
      <c r="G833" s="178"/>
      <c r="H833" s="178"/>
      <c r="I833" s="179"/>
    </row>
    <row r="834" spans="7:9" s="114" customFormat="1" x14ac:dyDescent="0.2">
      <c r="G834" s="178"/>
      <c r="H834" s="178"/>
      <c r="I834" s="179"/>
    </row>
    <row r="835" spans="7:9" s="114" customFormat="1" x14ac:dyDescent="0.2">
      <c r="G835" s="178"/>
      <c r="H835" s="178"/>
      <c r="I835" s="179"/>
    </row>
    <row r="836" spans="7:9" s="114" customFormat="1" x14ac:dyDescent="0.2">
      <c r="G836" s="178"/>
      <c r="H836" s="178"/>
      <c r="I836" s="179"/>
    </row>
    <row r="837" spans="7:9" s="114" customFormat="1" x14ac:dyDescent="0.2">
      <c r="G837" s="178"/>
      <c r="H837" s="178"/>
      <c r="I837" s="179"/>
    </row>
    <row r="838" spans="7:9" s="114" customFormat="1" x14ac:dyDescent="0.2">
      <c r="G838" s="178"/>
      <c r="H838" s="178"/>
      <c r="I838" s="179"/>
    </row>
    <row r="839" spans="7:9" s="114" customFormat="1" x14ac:dyDescent="0.2">
      <c r="G839" s="178"/>
      <c r="H839" s="178"/>
      <c r="I839" s="179"/>
    </row>
    <row r="840" spans="7:9" s="114" customFormat="1" x14ac:dyDescent="0.2">
      <c r="G840" s="178"/>
      <c r="H840" s="178"/>
      <c r="I840" s="179"/>
    </row>
    <row r="841" spans="7:9" s="114" customFormat="1" x14ac:dyDescent="0.2">
      <c r="G841" s="178"/>
      <c r="H841" s="178"/>
      <c r="I841" s="179"/>
    </row>
    <row r="842" spans="7:9" s="114" customFormat="1" x14ac:dyDescent="0.2">
      <c r="G842" s="178"/>
      <c r="H842" s="178"/>
      <c r="I842" s="179"/>
    </row>
    <row r="843" spans="7:9" s="114" customFormat="1" x14ac:dyDescent="0.2">
      <c r="G843" s="178"/>
      <c r="H843" s="178"/>
      <c r="I843" s="179"/>
    </row>
    <row r="844" spans="7:9" s="114" customFormat="1" x14ac:dyDescent="0.2">
      <c r="G844" s="178"/>
      <c r="H844" s="178"/>
      <c r="I844" s="179"/>
    </row>
    <row r="845" spans="7:9" s="114" customFormat="1" x14ac:dyDescent="0.2">
      <c r="G845" s="178"/>
      <c r="H845" s="178"/>
      <c r="I845" s="179"/>
    </row>
    <row r="846" spans="7:9" s="114" customFormat="1" x14ac:dyDescent="0.2">
      <c r="G846" s="178"/>
      <c r="H846" s="178"/>
      <c r="I846" s="179"/>
    </row>
    <row r="847" spans="7:9" s="114" customFormat="1" x14ac:dyDescent="0.2">
      <c r="G847" s="178"/>
      <c r="H847" s="178"/>
      <c r="I847" s="179"/>
    </row>
    <row r="848" spans="7:9" s="114" customFormat="1" x14ac:dyDescent="0.2">
      <c r="G848" s="178"/>
      <c r="H848" s="178"/>
      <c r="I848" s="179"/>
    </row>
    <row r="849" spans="7:9" s="114" customFormat="1" x14ac:dyDescent="0.2">
      <c r="G849" s="178"/>
      <c r="H849" s="178"/>
      <c r="I849" s="179"/>
    </row>
    <row r="850" spans="7:9" s="114" customFormat="1" x14ac:dyDescent="0.2">
      <c r="G850" s="178"/>
      <c r="H850" s="178"/>
      <c r="I850" s="179"/>
    </row>
    <row r="851" spans="7:9" s="114" customFormat="1" x14ac:dyDescent="0.2">
      <c r="G851" s="178"/>
      <c r="H851" s="178"/>
      <c r="I851" s="179"/>
    </row>
    <row r="852" spans="7:9" s="114" customFormat="1" x14ac:dyDescent="0.2">
      <c r="G852" s="178"/>
      <c r="H852" s="178"/>
      <c r="I852" s="179"/>
    </row>
    <row r="853" spans="7:9" s="114" customFormat="1" x14ac:dyDescent="0.2">
      <c r="G853" s="178"/>
      <c r="H853" s="178"/>
      <c r="I853" s="179"/>
    </row>
    <row r="854" spans="7:9" s="114" customFormat="1" x14ac:dyDescent="0.2">
      <c r="G854" s="178"/>
      <c r="H854" s="178"/>
      <c r="I854" s="179"/>
    </row>
    <row r="855" spans="7:9" s="114" customFormat="1" x14ac:dyDescent="0.2">
      <c r="G855" s="178"/>
      <c r="H855" s="178"/>
      <c r="I855" s="179"/>
    </row>
    <row r="856" spans="7:9" s="114" customFormat="1" x14ac:dyDescent="0.2">
      <c r="G856" s="178"/>
      <c r="H856" s="178"/>
      <c r="I856" s="179"/>
    </row>
    <row r="857" spans="7:9" s="114" customFormat="1" x14ac:dyDescent="0.2">
      <c r="G857" s="178"/>
      <c r="H857" s="178"/>
      <c r="I857" s="179"/>
    </row>
    <row r="858" spans="7:9" s="114" customFormat="1" x14ac:dyDescent="0.2">
      <c r="G858" s="178"/>
      <c r="H858" s="178"/>
      <c r="I858" s="179"/>
    </row>
    <row r="859" spans="7:9" s="114" customFormat="1" x14ac:dyDescent="0.2">
      <c r="G859" s="178"/>
      <c r="H859" s="178"/>
      <c r="I859" s="179"/>
    </row>
    <row r="860" spans="7:9" s="114" customFormat="1" x14ac:dyDescent="0.2">
      <c r="G860" s="178"/>
      <c r="H860" s="178"/>
      <c r="I860" s="179"/>
    </row>
    <row r="861" spans="7:9" s="114" customFormat="1" x14ac:dyDescent="0.2">
      <c r="G861" s="178"/>
      <c r="H861" s="178"/>
      <c r="I861" s="179"/>
    </row>
    <row r="862" spans="7:9" s="114" customFormat="1" x14ac:dyDescent="0.2">
      <c r="G862" s="178"/>
      <c r="H862" s="178"/>
      <c r="I862" s="179"/>
    </row>
    <row r="863" spans="7:9" s="114" customFormat="1" x14ac:dyDescent="0.2">
      <c r="G863" s="178"/>
      <c r="H863" s="178"/>
      <c r="I863" s="179"/>
    </row>
    <row r="864" spans="7:9" s="114" customFormat="1" x14ac:dyDescent="0.2">
      <c r="G864" s="178"/>
      <c r="H864" s="178"/>
      <c r="I864" s="179"/>
    </row>
    <row r="865" spans="7:9" s="114" customFormat="1" x14ac:dyDescent="0.2">
      <c r="G865" s="178"/>
      <c r="H865" s="178"/>
      <c r="I865" s="179"/>
    </row>
    <row r="866" spans="7:9" s="114" customFormat="1" x14ac:dyDescent="0.2">
      <c r="G866" s="178"/>
      <c r="H866" s="178"/>
      <c r="I866" s="179"/>
    </row>
    <row r="867" spans="7:9" s="114" customFormat="1" x14ac:dyDescent="0.2">
      <c r="G867" s="178"/>
      <c r="H867" s="178"/>
      <c r="I867" s="179"/>
    </row>
    <row r="868" spans="7:9" s="114" customFormat="1" x14ac:dyDescent="0.2">
      <c r="G868" s="178"/>
      <c r="H868" s="178"/>
      <c r="I868" s="179"/>
    </row>
    <row r="869" spans="7:9" s="114" customFormat="1" x14ac:dyDescent="0.2">
      <c r="G869" s="178"/>
      <c r="H869" s="178"/>
      <c r="I869" s="179"/>
    </row>
    <row r="870" spans="7:9" s="114" customFormat="1" x14ac:dyDescent="0.2">
      <c r="G870" s="178"/>
      <c r="H870" s="178"/>
      <c r="I870" s="179"/>
    </row>
    <row r="871" spans="7:9" s="114" customFormat="1" x14ac:dyDescent="0.2">
      <c r="G871" s="178"/>
      <c r="H871" s="178"/>
      <c r="I871" s="179"/>
    </row>
    <row r="872" spans="7:9" s="114" customFormat="1" x14ac:dyDescent="0.2">
      <c r="G872" s="178"/>
      <c r="H872" s="178"/>
      <c r="I872" s="179"/>
    </row>
    <row r="873" spans="7:9" s="114" customFormat="1" x14ac:dyDescent="0.2">
      <c r="G873" s="178"/>
      <c r="H873" s="178"/>
      <c r="I873" s="179"/>
    </row>
    <row r="874" spans="7:9" s="114" customFormat="1" x14ac:dyDescent="0.2">
      <c r="G874" s="178"/>
      <c r="H874" s="178"/>
      <c r="I874" s="179"/>
    </row>
    <row r="875" spans="7:9" s="114" customFormat="1" x14ac:dyDescent="0.2">
      <c r="G875" s="178"/>
      <c r="H875" s="178"/>
      <c r="I875" s="179"/>
    </row>
    <row r="876" spans="7:9" s="114" customFormat="1" x14ac:dyDescent="0.2">
      <c r="G876" s="178"/>
      <c r="H876" s="178"/>
      <c r="I876" s="179"/>
    </row>
    <row r="877" spans="7:9" s="114" customFormat="1" x14ac:dyDescent="0.2">
      <c r="G877" s="178"/>
      <c r="H877" s="178"/>
      <c r="I877" s="179"/>
    </row>
    <row r="878" spans="7:9" s="114" customFormat="1" x14ac:dyDescent="0.2">
      <c r="G878" s="178"/>
      <c r="H878" s="178"/>
      <c r="I878" s="179"/>
    </row>
    <row r="879" spans="7:9" s="114" customFormat="1" x14ac:dyDescent="0.2">
      <c r="G879" s="178"/>
      <c r="H879" s="178"/>
      <c r="I879" s="179"/>
    </row>
    <row r="880" spans="7:9" s="114" customFormat="1" x14ac:dyDescent="0.2">
      <c r="G880" s="178"/>
      <c r="H880" s="178"/>
      <c r="I880" s="179"/>
    </row>
    <row r="881" spans="7:9" s="114" customFormat="1" x14ac:dyDescent="0.2">
      <c r="G881" s="178"/>
      <c r="H881" s="178"/>
      <c r="I881" s="179"/>
    </row>
    <row r="882" spans="7:9" s="114" customFormat="1" x14ac:dyDescent="0.2">
      <c r="G882" s="178"/>
      <c r="H882" s="178"/>
      <c r="I882" s="179"/>
    </row>
    <row r="883" spans="7:9" s="114" customFormat="1" x14ac:dyDescent="0.2">
      <c r="G883" s="178"/>
      <c r="H883" s="178"/>
      <c r="I883" s="179"/>
    </row>
    <row r="884" spans="7:9" s="114" customFormat="1" x14ac:dyDescent="0.2">
      <c r="G884" s="178"/>
      <c r="H884" s="178"/>
      <c r="I884" s="179"/>
    </row>
    <row r="885" spans="7:9" s="114" customFormat="1" x14ac:dyDescent="0.2">
      <c r="G885" s="178"/>
      <c r="H885" s="178"/>
      <c r="I885" s="179"/>
    </row>
    <row r="886" spans="7:9" s="114" customFormat="1" x14ac:dyDescent="0.2">
      <c r="G886" s="178"/>
      <c r="H886" s="178"/>
      <c r="I886" s="179"/>
    </row>
    <row r="887" spans="7:9" s="114" customFormat="1" x14ac:dyDescent="0.2">
      <c r="G887" s="178"/>
      <c r="H887" s="178"/>
      <c r="I887" s="179"/>
    </row>
    <row r="888" spans="7:9" s="114" customFormat="1" x14ac:dyDescent="0.2">
      <c r="G888" s="178"/>
      <c r="H888" s="178"/>
      <c r="I888" s="179"/>
    </row>
    <row r="889" spans="7:9" s="114" customFormat="1" x14ac:dyDescent="0.2">
      <c r="G889" s="178"/>
      <c r="H889" s="178"/>
      <c r="I889" s="179"/>
    </row>
    <row r="890" spans="7:9" s="114" customFormat="1" x14ac:dyDescent="0.2">
      <c r="G890" s="178"/>
      <c r="H890" s="178"/>
      <c r="I890" s="179"/>
    </row>
    <row r="891" spans="7:9" s="114" customFormat="1" x14ac:dyDescent="0.2">
      <c r="G891" s="178"/>
      <c r="H891" s="178"/>
      <c r="I891" s="179"/>
    </row>
    <row r="892" spans="7:9" s="114" customFormat="1" x14ac:dyDescent="0.2">
      <c r="G892" s="178"/>
      <c r="H892" s="178"/>
      <c r="I892" s="179"/>
    </row>
    <row r="893" spans="7:9" s="114" customFormat="1" x14ac:dyDescent="0.2">
      <c r="G893" s="178"/>
      <c r="H893" s="178"/>
      <c r="I893" s="179"/>
    </row>
    <row r="894" spans="7:9" s="114" customFormat="1" x14ac:dyDescent="0.2">
      <c r="G894" s="178"/>
      <c r="H894" s="178"/>
      <c r="I894" s="179"/>
    </row>
    <row r="895" spans="7:9" s="114" customFormat="1" x14ac:dyDescent="0.2">
      <c r="G895" s="178"/>
      <c r="H895" s="178"/>
      <c r="I895" s="179"/>
    </row>
    <row r="896" spans="7:9" s="114" customFormat="1" x14ac:dyDescent="0.2">
      <c r="G896" s="178"/>
      <c r="H896" s="178"/>
      <c r="I896" s="179"/>
    </row>
    <row r="897" spans="7:9" s="114" customFormat="1" x14ac:dyDescent="0.2">
      <c r="G897" s="178"/>
      <c r="H897" s="178"/>
      <c r="I897" s="179"/>
    </row>
    <row r="898" spans="7:9" s="114" customFormat="1" x14ac:dyDescent="0.2">
      <c r="G898" s="178"/>
      <c r="H898" s="178"/>
      <c r="I898" s="179"/>
    </row>
    <row r="899" spans="7:9" s="114" customFormat="1" x14ac:dyDescent="0.2">
      <c r="G899" s="178"/>
      <c r="H899" s="178"/>
      <c r="I899" s="179"/>
    </row>
    <row r="900" spans="7:9" s="114" customFormat="1" x14ac:dyDescent="0.2">
      <c r="G900" s="178"/>
      <c r="H900" s="178"/>
      <c r="I900" s="179"/>
    </row>
    <row r="901" spans="7:9" s="114" customFormat="1" x14ac:dyDescent="0.2">
      <c r="G901" s="178"/>
      <c r="H901" s="178"/>
      <c r="I901" s="179"/>
    </row>
    <row r="902" spans="7:9" s="114" customFormat="1" x14ac:dyDescent="0.2">
      <c r="G902" s="178"/>
      <c r="H902" s="178"/>
      <c r="I902" s="179"/>
    </row>
    <row r="903" spans="7:9" s="114" customFormat="1" x14ac:dyDescent="0.2">
      <c r="G903" s="178"/>
      <c r="H903" s="178"/>
      <c r="I903" s="179"/>
    </row>
    <row r="904" spans="7:9" s="114" customFormat="1" x14ac:dyDescent="0.2">
      <c r="G904" s="178"/>
      <c r="H904" s="178"/>
      <c r="I904" s="179"/>
    </row>
    <row r="905" spans="7:9" s="114" customFormat="1" x14ac:dyDescent="0.2">
      <c r="G905" s="178"/>
      <c r="H905" s="178"/>
      <c r="I905" s="179"/>
    </row>
    <row r="906" spans="7:9" s="114" customFormat="1" x14ac:dyDescent="0.2">
      <c r="G906" s="178"/>
      <c r="H906" s="178"/>
      <c r="I906" s="179"/>
    </row>
    <row r="907" spans="7:9" s="114" customFormat="1" x14ac:dyDescent="0.2">
      <c r="G907" s="178"/>
      <c r="H907" s="178"/>
      <c r="I907" s="179"/>
    </row>
    <row r="908" spans="7:9" s="114" customFormat="1" x14ac:dyDescent="0.2">
      <c r="G908" s="178"/>
      <c r="H908" s="178"/>
      <c r="I908" s="179"/>
    </row>
    <row r="909" spans="7:9" s="114" customFormat="1" x14ac:dyDescent="0.2">
      <c r="G909" s="178"/>
      <c r="H909" s="178"/>
      <c r="I909" s="179"/>
    </row>
    <row r="910" spans="7:9" s="114" customFormat="1" x14ac:dyDescent="0.2">
      <c r="G910" s="178"/>
      <c r="H910" s="178"/>
      <c r="I910" s="179"/>
    </row>
    <row r="911" spans="7:9" s="114" customFormat="1" x14ac:dyDescent="0.2">
      <c r="G911" s="178"/>
      <c r="H911" s="178"/>
      <c r="I911" s="179"/>
    </row>
    <row r="912" spans="7:9" s="114" customFormat="1" x14ac:dyDescent="0.2">
      <c r="G912" s="178"/>
      <c r="H912" s="178"/>
      <c r="I912" s="179"/>
    </row>
    <row r="913" spans="7:9" s="114" customFormat="1" x14ac:dyDescent="0.2">
      <c r="G913" s="178"/>
      <c r="H913" s="178"/>
      <c r="I913" s="179"/>
    </row>
    <row r="914" spans="7:9" s="114" customFormat="1" x14ac:dyDescent="0.2">
      <c r="G914" s="178"/>
      <c r="H914" s="178"/>
      <c r="I914" s="179"/>
    </row>
    <row r="915" spans="7:9" s="114" customFormat="1" x14ac:dyDescent="0.2">
      <c r="G915" s="178"/>
      <c r="H915" s="178"/>
      <c r="I915" s="179"/>
    </row>
    <row r="916" spans="7:9" s="114" customFormat="1" x14ac:dyDescent="0.2">
      <c r="G916" s="178"/>
      <c r="H916" s="178"/>
      <c r="I916" s="179"/>
    </row>
    <row r="917" spans="7:9" s="114" customFormat="1" x14ac:dyDescent="0.2">
      <c r="G917" s="178"/>
      <c r="H917" s="178"/>
      <c r="I917" s="179"/>
    </row>
    <row r="918" spans="7:9" s="114" customFormat="1" x14ac:dyDescent="0.2">
      <c r="G918" s="178"/>
      <c r="H918" s="178"/>
      <c r="I918" s="179"/>
    </row>
    <row r="919" spans="7:9" s="114" customFormat="1" x14ac:dyDescent="0.2">
      <c r="G919" s="178"/>
      <c r="H919" s="178"/>
      <c r="I919" s="179"/>
    </row>
    <row r="920" spans="7:9" s="114" customFormat="1" x14ac:dyDescent="0.2">
      <c r="G920" s="178"/>
      <c r="H920" s="178"/>
      <c r="I920" s="179"/>
    </row>
    <row r="921" spans="7:9" s="114" customFormat="1" x14ac:dyDescent="0.2">
      <c r="G921" s="178"/>
      <c r="H921" s="178"/>
      <c r="I921" s="179"/>
    </row>
    <row r="922" spans="7:9" s="114" customFormat="1" x14ac:dyDescent="0.2">
      <c r="G922" s="178"/>
      <c r="H922" s="178"/>
      <c r="I922" s="179"/>
    </row>
    <row r="923" spans="7:9" s="114" customFormat="1" x14ac:dyDescent="0.2">
      <c r="G923" s="178"/>
      <c r="H923" s="178"/>
      <c r="I923" s="179"/>
    </row>
    <row r="924" spans="7:9" s="114" customFormat="1" x14ac:dyDescent="0.2">
      <c r="G924" s="178"/>
      <c r="H924" s="178"/>
      <c r="I924" s="179"/>
    </row>
    <row r="925" spans="7:9" s="114" customFormat="1" x14ac:dyDescent="0.2">
      <c r="G925" s="178"/>
      <c r="H925" s="178"/>
      <c r="I925" s="179"/>
    </row>
    <row r="926" spans="7:9" s="114" customFormat="1" x14ac:dyDescent="0.2">
      <c r="G926" s="178"/>
      <c r="H926" s="178"/>
      <c r="I926" s="179"/>
    </row>
    <row r="927" spans="7:9" s="114" customFormat="1" x14ac:dyDescent="0.2">
      <c r="G927" s="178"/>
      <c r="H927" s="178"/>
      <c r="I927" s="179"/>
    </row>
    <row r="928" spans="7:9" s="114" customFormat="1" x14ac:dyDescent="0.2">
      <c r="G928" s="178"/>
      <c r="H928" s="178"/>
      <c r="I928" s="179"/>
    </row>
    <row r="929" spans="7:9" s="114" customFormat="1" x14ac:dyDescent="0.2">
      <c r="G929" s="178"/>
      <c r="H929" s="178"/>
      <c r="I929" s="179"/>
    </row>
    <row r="930" spans="7:9" s="114" customFormat="1" x14ac:dyDescent="0.2">
      <c r="G930" s="178"/>
      <c r="H930" s="178"/>
      <c r="I930" s="179"/>
    </row>
    <row r="931" spans="7:9" s="114" customFormat="1" x14ac:dyDescent="0.2">
      <c r="G931" s="178"/>
      <c r="H931" s="178"/>
      <c r="I931" s="179"/>
    </row>
    <row r="932" spans="7:9" s="114" customFormat="1" x14ac:dyDescent="0.2">
      <c r="G932" s="178"/>
      <c r="H932" s="178"/>
      <c r="I932" s="179"/>
    </row>
    <row r="933" spans="7:9" s="114" customFormat="1" x14ac:dyDescent="0.2">
      <c r="G933" s="178"/>
      <c r="H933" s="178"/>
      <c r="I933" s="179"/>
    </row>
    <row r="934" spans="7:9" s="114" customFormat="1" x14ac:dyDescent="0.2">
      <c r="G934" s="178"/>
      <c r="H934" s="178"/>
      <c r="I934" s="179"/>
    </row>
    <row r="935" spans="7:9" s="114" customFormat="1" x14ac:dyDescent="0.2">
      <c r="G935" s="178"/>
      <c r="H935" s="178"/>
      <c r="I935" s="179"/>
    </row>
    <row r="936" spans="7:9" s="114" customFormat="1" x14ac:dyDescent="0.2">
      <c r="G936" s="178"/>
      <c r="H936" s="178"/>
      <c r="I936" s="179"/>
    </row>
    <row r="937" spans="7:9" s="114" customFormat="1" x14ac:dyDescent="0.2">
      <c r="G937" s="178"/>
      <c r="H937" s="178"/>
      <c r="I937" s="179"/>
    </row>
    <row r="938" spans="7:9" s="114" customFormat="1" x14ac:dyDescent="0.2">
      <c r="G938" s="178"/>
      <c r="H938" s="178"/>
      <c r="I938" s="179"/>
    </row>
    <row r="939" spans="7:9" s="114" customFormat="1" x14ac:dyDescent="0.2">
      <c r="G939" s="178"/>
      <c r="H939" s="178"/>
      <c r="I939" s="179"/>
    </row>
    <row r="940" spans="7:9" s="114" customFormat="1" x14ac:dyDescent="0.2">
      <c r="G940" s="178"/>
      <c r="H940" s="178"/>
      <c r="I940" s="179"/>
    </row>
    <row r="941" spans="7:9" s="114" customFormat="1" x14ac:dyDescent="0.2">
      <c r="G941" s="178"/>
      <c r="H941" s="178"/>
      <c r="I941" s="179"/>
    </row>
    <row r="942" spans="7:9" s="114" customFormat="1" x14ac:dyDescent="0.2">
      <c r="G942" s="178"/>
      <c r="H942" s="178"/>
      <c r="I942" s="179"/>
    </row>
    <row r="943" spans="7:9" s="114" customFormat="1" x14ac:dyDescent="0.2">
      <c r="G943" s="178"/>
      <c r="H943" s="178"/>
      <c r="I943" s="179"/>
    </row>
    <row r="944" spans="7:9" s="114" customFormat="1" x14ac:dyDescent="0.2">
      <c r="G944" s="178"/>
      <c r="H944" s="178"/>
      <c r="I944" s="179"/>
    </row>
    <row r="945" spans="7:9" s="114" customFormat="1" x14ac:dyDescent="0.2">
      <c r="G945" s="178"/>
      <c r="H945" s="178"/>
      <c r="I945" s="179"/>
    </row>
    <row r="946" spans="7:9" s="114" customFormat="1" x14ac:dyDescent="0.2">
      <c r="G946" s="178"/>
      <c r="H946" s="178"/>
      <c r="I946" s="179"/>
    </row>
    <row r="947" spans="7:9" s="114" customFormat="1" x14ac:dyDescent="0.2">
      <c r="G947" s="178"/>
      <c r="H947" s="178"/>
      <c r="I947" s="179"/>
    </row>
    <row r="948" spans="7:9" s="114" customFormat="1" x14ac:dyDescent="0.2">
      <c r="G948" s="178"/>
      <c r="H948" s="178"/>
      <c r="I948" s="179"/>
    </row>
    <row r="2947" spans="7:8" s="114" customFormat="1" x14ac:dyDescent="0.2">
      <c r="G2947" s="178"/>
      <c r="H2947" s="178"/>
    </row>
    <row r="2962" spans="1:13" x14ac:dyDescent="0.2">
      <c r="A2962" s="114"/>
      <c r="B2962" s="292"/>
      <c r="M2962" s="114"/>
    </row>
    <row r="2966" spans="1:13" x14ac:dyDescent="0.2">
      <c r="A2966" s="114"/>
      <c r="B2966" s="114"/>
      <c r="C2966" s="114"/>
      <c r="D2966" s="114"/>
      <c r="E2966" s="114"/>
      <c r="F2966" s="114"/>
      <c r="I2966" s="114"/>
      <c r="M2966" s="114"/>
    </row>
    <row r="2981" spans="1:9" x14ac:dyDescent="0.2">
      <c r="A2981" s="114"/>
      <c r="B2981" s="292"/>
      <c r="I2981" s="114"/>
    </row>
    <row r="2986" spans="1:9" x14ac:dyDescent="0.2">
      <c r="A2986" s="114"/>
    </row>
    <row r="3001" spans="1:13" x14ac:dyDescent="0.2">
      <c r="A3001" s="114"/>
      <c r="B3001" s="292"/>
      <c r="M3001" s="114"/>
    </row>
  </sheetData>
  <mergeCells count="57">
    <mergeCell ref="A210:L210"/>
    <mergeCell ref="A1:M2"/>
    <mergeCell ref="A3:M3"/>
    <mergeCell ref="A61:L61"/>
    <mergeCell ref="G80:H80"/>
    <mergeCell ref="A89:M90"/>
    <mergeCell ref="A91:M91"/>
    <mergeCell ref="A144:L144"/>
    <mergeCell ref="G151:H151"/>
    <mergeCell ref="G155:H155"/>
    <mergeCell ref="A163:M164"/>
    <mergeCell ref="A165:M165"/>
    <mergeCell ref="A390:M390"/>
    <mergeCell ref="A221:M222"/>
    <mergeCell ref="A223:M223"/>
    <mergeCell ref="A269:L269"/>
    <mergeCell ref="A292:M293"/>
    <mergeCell ref="A294:M294"/>
    <mergeCell ref="A327:L327"/>
    <mergeCell ref="A345:M346"/>
    <mergeCell ref="A347:M347"/>
    <mergeCell ref="A375:L375"/>
    <mergeCell ref="H383:I383"/>
    <mergeCell ref="A388:M389"/>
    <mergeCell ref="B560:C560"/>
    <mergeCell ref="A420:L420"/>
    <mergeCell ref="A435:M436"/>
    <mergeCell ref="A437:M437"/>
    <mergeCell ref="A489:L489"/>
    <mergeCell ref="B494:C494"/>
    <mergeCell ref="B497:C497"/>
    <mergeCell ref="B499:C499"/>
    <mergeCell ref="A505:M506"/>
    <mergeCell ref="A507:M507"/>
    <mergeCell ref="A552:L552"/>
    <mergeCell ref="B557:C557"/>
    <mergeCell ref="A567:M568"/>
    <mergeCell ref="A569:M569"/>
    <mergeCell ref="A616:L616"/>
    <mergeCell ref="B621:C621"/>
    <mergeCell ref="B622:C622"/>
    <mergeCell ref="F764:K765"/>
    <mergeCell ref="F766:K766"/>
    <mergeCell ref="G422:K422"/>
    <mergeCell ref="B680:C680"/>
    <mergeCell ref="B682:C682"/>
    <mergeCell ref="B684:C684"/>
    <mergeCell ref="A693:M694"/>
    <mergeCell ref="A695:M695"/>
    <mergeCell ref="A734:L734"/>
    <mergeCell ref="B624:C624"/>
    <mergeCell ref="B626:C626"/>
    <mergeCell ref="A631:M632"/>
    <mergeCell ref="A633:M633"/>
    <mergeCell ref="A674:L674"/>
    <mergeCell ref="B679:C679"/>
    <mergeCell ref="B562:C5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opLeftCell="A13" workbookViewId="0">
      <selection activeCell="J6" sqref="J6"/>
    </sheetView>
  </sheetViews>
  <sheetFormatPr baseColWidth="10" defaultRowHeight="15" x14ac:dyDescent="0.25"/>
  <cols>
    <col min="3" max="3" width="16.7109375" customWidth="1"/>
  </cols>
  <sheetData>
    <row r="2" spans="2:10" x14ac:dyDescent="0.25">
      <c r="B2" s="540" t="s">
        <v>15</v>
      </c>
      <c r="C2" s="540"/>
      <c r="D2" s="540"/>
      <c r="E2" s="540"/>
      <c r="F2" s="540"/>
      <c r="G2" s="540"/>
    </row>
    <row r="3" spans="2:10" ht="15" customHeight="1" x14ac:dyDescent="0.25">
      <c r="B3" s="541" t="s">
        <v>16</v>
      </c>
      <c r="C3" s="542"/>
      <c r="D3" s="542"/>
      <c r="E3" s="542"/>
      <c r="F3" s="542"/>
      <c r="G3" s="543"/>
    </row>
    <row r="4" spans="2:10" x14ac:dyDescent="0.25">
      <c r="B4" s="17"/>
      <c r="C4" s="18" t="s">
        <v>17</v>
      </c>
      <c r="D4" s="18" t="s">
        <v>18</v>
      </c>
      <c r="E4" s="1" t="s">
        <v>19</v>
      </c>
      <c r="F4" s="1" t="s">
        <v>20</v>
      </c>
      <c r="G4" s="18" t="s">
        <v>21</v>
      </c>
    </row>
    <row r="5" spans="2:10" x14ac:dyDescent="0.25">
      <c r="B5" s="19" t="s">
        <v>5</v>
      </c>
      <c r="C5" s="18" t="s">
        <v>7</v>
      </c>
      <c r="D5" s="18" t="s">
        <v>8</v>
      </c>
      <c r="E5" s="1" t="s">
        <v>9</v>
      </c>
      <c r="F5" s="1" t="s">
        <v>22</v>
      </c>
      <c r="G5" s="6" t="s">
        <v>23</v>
      </c>
    </row>
    <row r="6" spans="2:10" x14ac:dyDescent="0.25">
      <c r="B6" s="20" t="s">
        <v>24</v>
      </c>
      <c r="C6" s="21"/>
      <c r="D6" s="21"/>
      <c r="E6" s="22"/>
      <c r="F6" s="2"/>
      <c r="G6" s="55">
        <v>89552.61999999985</v>
      </c>
      <c r="I6" s="55">
        <v>27889.279999999999</v>
      </c>
      <c r="J6" s="344">
        <v>61663.34</v>
      </c>
    </row>
    <row r="7" spans="2:10" x14ac:dyDescent="0.25">
      <c r="B7" s="23" t="s">
        <v>25</v>
      </c>
      <c r="C7" s="24">
        <v>31914</v>
      </c>
      <c r="D7" s="24">
        <v>10212.479999999998</v>
      </c>
      <c r="E7" s="7">
        <v>21701.520000000004</v>
      </c>
      <c r="F7" s="3">
        <v>22102.400000000001</v>
      </c>
      <c r="G7" s="18">
        <v>89151.739999999845</v>
      </c>
    </row>
    <row r="8" spans="2:10" x14ac:dyDescent="0.25">
      <c r="B8" s="23" t="s">
        <v>14</v>
      </c>
      <c r="C8" s="24">
        <v>10435</v>
      </c>
      <c r="D8" s="24">
        <v>3339.2</v>
      </c>
      <c r="E8" s="7">
        <v>7095.8</v>
      </c>
      <c r="F8" s="3">
        <v>10121</v>
      </c>
      <c r="G8" s="18">
        <v>86126.539999999848</v>
      </c>
    </row>
    <row r="9" spans="2:10" x14ac:dyDescent="0.25">
      <c r="B9" s="8" t="s">
        <v>26</v>
      </c>
      <c r="C9" s="24">
        <v>7520</v>
      </c>
      <c r="D9" s="24">
        <v>2406.4</v>
      </c>
      <c r="E9" s="7">
        <v>5113.6000000000004</v>
      </c>
      <c r="F9" s="3">
        <v>11651.869999999999</v>
      </c>
      <c r="G9" s="18">
        <v>79588.269999999844</v>
      </c>
    </row>
    <row r="10" spans="2:10" x14ac:dyDescent="0.25">
      <c r="B10" s="23" t="s">
        <v>27</v>
      </c>
      <c r="C10" s="24">
        <v>19364.5</v>
      </c>
      <c r="D10" s="24">
        <v>6196.64</v>
      </c>
      <c r="E10" s="7">
        <v>13167.860000000004</v>
      </c>
      <c r="F10" s="3">
        <v>19573.2</v>
      </c>
      <c r="G10" s="18">
        <v>73182.929999999847</v>
      </c>
    </row>
    <row r="11" spans="2:10" x14ac:dyDescent="0.25">
      <c r="B11" s="23" t="s">
        <v>28</v>
      </c>
      <c r="C11" s="24">
        <v>4712</v>
      </c>
      <c r="D11" s="24">
        <v>1507.84</v>
      </c>
      <c r="E11" s="7">
        <v>3204.1600000000003</v>
      </c>
      <c r="F11" s="3">
        <v>12020</v>
      </c>
      <c r="G11" s="18">
        <v>64367.089999999851</v>
      </c>
    </row>
    <row r="12" spans="2:10" x14ac:dyDescent="0.25">
      <c r="B12" s="23" t="s">
        <v>29</v>
      </c>
      <c r="C12" s="24">
        <v>6438</v>
      </c>
      <c r="D12" s="24">
        <v>2060.16</v>
      </c>
      <c r="E12" s="7">
        <v>4377.8400000000011</v>
      </c>
      <c r="F12" s="3">
        <v>9856.68</v>
      </c>
      <c r="G12" s="18">
        <v>58888.249999999854</v>
      </c>
    </row>
    <row r="13" spans="2:10" x14ac:dyDescent="0.25">
      <c r="B13" s="23" t="s">
        <v>30</v>
      </c>
      <c r="C13" s="24">
        <v>3581</v>
      </c>
      <c r="D13" s="24">
        <v>1145.92</v>
      </c>
      <c r="E13" s="7">
        <v>2435.08</v>
      </c>
      <c r="F13" s="3">
        <v>17444</v>
      </c>
      <c r="G13" s="18">
        <v>43879.329999999856</v>
      </c>
    </row>
    <row r="14" spans="2:10" x14ac:dyDescent="0.25">
      <c r="B14" s="23" t="s">
        <v>31</v>
      </c>
      <c r="C14" s="24">
        <v>11066</v>
      </c>
      <c r="D14" s="24">
        <v>3541.12</v>
      </c>
      <c r="E14" s="7">
        <v>7524.88</v>
      </c>
      <c r="F14" s="3">
        <v>0</v>
      </c>
      <c r="G14" s="18">
        <v>51404.209999999854</v>
      </c>
    </row>
    <row r="15" spans="2:10" x14ac:dyDescent="0.25">
      <c r="B15" s="23" t="s">
        <v>32</v>
      </c>
      <c r="C15" s="24">
        <v>8415</v>
      </c>
      <c r="D15" s="24">
        <v>2692.7999999999997</v>
      </c>
      <c r="E15" s="7">
        <v>5722.2000000000007</v>
      </c>
      <c r="F15" s="3">
        <v>4600</v>
      </c>
      <c r="G15" s="18">
        <v>52526.409999999858</v>
      </c>
    </row>
    <row r="16" spans="2:10" x14ac:dyDescent="0.25">
      <c r="B16" s="23" t="s">
        <v>33</v>
      </c>
      <c r="C16" s="24">
        <v>5162</v>
      </c>
      <c r="D16" s="24">
        <v>671.99999999999989</v>
      </c>
      <c r="E16" s="7">
        <v>3510.1599999999994</v>
      </c>
      <c r="F16" s="4">
        <v>5440</v>
      </c>
      <c r="G16" s="18">
        <v>50596.569999999854</v>
      </c>
    </row>
    <row r="17" spans="2:10" x14ac:dyDescent="0.25">
      <c r="B17" s="23" t="s">
        <v>34</v>
      </c>
      <c r="C17" s="24">
        <v>4298</v>
      </c>
      <c r="D17" s="24">
        <v>1375.36</v>
      </c>
      <c r="E17" s="7">
        <v>2922.6400000000003</v>
      </c>
      <c r="F17" s="4">
        <v>9180</v>
      </c>
      <c r="G17" s="18">
        <v>44339.209999999854</v>
      </c>
    </row>
    <row r="18" spans="2:10" x14ac:dyDescent="0.25">
      <c r="B18" s="23" t="s">
        <v>35</v>
      </c>
      <c r="C18" s="24">
        <v>4937</v>
      </c>
      <c r="D18" s="24">
        <v>1579.8399999999997</v>
      </c>
      <c r="E18" s="7">
        <v>3357.1600000000003</v>
      </c>
      <c r="F18" s="4">
        <v>15880</v>
      </c>
      <c r="G18" s="52">
        <v>31816.369999999853</v>
      </c>
    </row>
    <row r="19" spans="2:10" x14ac:dyDescent="0.25">
      <c r="B19" s="15" t="s">
        <v>36</v>
      </c>
      <c r="C19" s="24">
        <v>117842.5</v>
      </c>
      <c r="D19" s="24">
        <v>36729.759999999995</v>
      </c>
      <c r="E19" s="53">
        <v>80132.900000000023</v>
      </c>
      <c r="F19" s="54">
        <v>137869.15</v>
      </c>
      <c r="G19" s="9"/>
    </row>
    <row r="21" spans="2:10" x14ac:dyDescent="0.25">
      <c r="B21" s="28" t="s">
        <v>37</v>
      </c>
      <c r="C21" s="29"/>
      <c r="D21" s="30"/>
      <c r="E21" s="31"/>
      <c r="F21" s="32"/>
      <c r="G21" s="33"/>
      <c r="H21" s="34"/>
      <c r="I21" s="34"/>
      <c r="J21" s="34"/>
    </row>
    <row r="22" spans="2:10" x14ac:dyDescent="0.25">
      <c r="B22" s="35" t="s">
        <v>38</v>
      </c>
      <c r="C22" s="36"/>
      <c r="D22" s="30"/>
      <c r="E22" s="37"/>
      <c r="F22" s="38"/>
      <c r="G22" s="32"/>
      <c r="H22" s="33"/>
      <c r="I22" s="34"/>
      <c r="J22" s="34"/>
    </row>
    <row r="23" spans="2:10" x14ac:dyDescent="0.25">
      <c r="B23" s="39" t="s">
        <v>39</v>
      </c>
      <c r="C23" s="40" t="s">
        <v>40</v>
      </c>
      <c r="D23" s="41"/>
      <c r="E23" s="41"/>
      <c r="F23" s="40"/>
      <c r="G23" s="32"/>
      <c r="H23" s="33"/>
      <c r="I23" s="34"/>
      <c r="J23" s="34"/>
    </row>
    <row r="24" spans="2:10" x14ac:dyDescent="0.25">
      <c r="B24" s="42" t="s">
        <v>41</v>
      </c>
      <c r="C24" s="34" t="s">
        <v>42</v>
      </c>
      <c r="D24" s="34"/>
      <c r="E24" s="34"/>
      <c r="F24" s="34"/>
      <c r="G24" s="34"/>
      <c r="H24" s="34"/>
      <c r="I24" s="34"/>
      <c r="J24" s="34"/>
    </row>
    <row r="25" spans="2:10" ht="15.75" thickBot="1" x14ac:dyDescent="0.3">
      <c r="B25" s="39" t="s">
        <v>43</v>
      </c>
      <c r="C25" s="43" t="s">
        <v>44</v>
      </c>
      <c r="D25" s="48">
        <v>80132.900000000023</v>
      </c>
      <c r="E25" s="44" t="s">
        <v>45</v>
      </c>
      <c r="F25" s="49">
        <v>137869.15</v>
      </c>
      <c r="G25" s="45" t="s">
        <v>45</v>
      </c>
      <c r="H25" s="50">
        <v>89552.61999999985</v>
      </c>
      <c r="I25" s="45" t="s">
        <v>46</v>
      </c>
      <c r="J25" s="51">
        <v>31816.369999999879</v>
      </c>
    </row>
    <row r="26" spans="2:10" ht="15.75" thickTop="1" x14ac:dyDescent="0.25">
      <c r="B26" s="34"/>
      <c r="C26" s="30"/>
      <c r="D26" s="30"/>
      <c r="E26" s="34"/>
      <c r="F26" s="41"/>
      <c r="G26" s="34"/>
      <c r="H26" s="34"/>
      <c r="I26" s="34"/>
      <c r="J26" s="34"/>
    </row>
    <row r="27" spans="2:10" x14ac:dyDescent="0.25">
      <c r="B27" s="41"/>
      <c r="C27" s="46" t="s">
        <v>47</v>
      </c>
      <c r="D27" s="47"/>
      <c r="E27" s="47"/>
      <c r="F27" s="47"/>
      <c r="G27" s="31"/>
      <c r="H27" s="36"/>
      <c r="I27" s="34"/>
      <c r="J27" s="34"/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3037"/>
  <sheetViews>
    <sheetView topLeftCell="A835" workbookViewId="0">
      <selection activeCell="J858" sqref="J858"/>
    </sheetView>
  </sheetViews>
  <sheetFormatPr baseColWidth="10" defaultColWidth="11.42578125" defaultRowHeight="12" x14ac:dyDescent="0.2"/>
  <cols>
    <col min="1" max="1" width="4.7109375" style="26" customWidth="1"/>
    <col min="2" max="2" width="10.42578125" style="26" customWidth="1"/>
    <col min="3" max="3" width="18.85546875" style="26" customWidth="1"/>
    <col min="4" max="4" width="10.5703125" style="26" customWidth="1"/>
    <col min="5" max="5" width="10.28515625" style="26" customWidth="1"/>
    <col min="6" max="6" width="10.85546875" style="26" customWidth="1"/>
    <col min="7" max="7" width="12.85546875" style="26" customWidth="1"/>
    <col min="8" max="8" width="11.140625" style="26" customWidth="1"/>
    <col min="9" max="10" width="14.140625" style="26" customWidth="1"/>
    <col min="11" max="11" width="9.140625" style="26" customWidth="1"/>
    <col min="12" max="16384" width="11.42578125" style="26"/>
  </cols>
  <sheetData>
    <row r="2" spans="2:12" x14ac:dyDescent="0.2">
      <c r="B2" s="544" t="s">
        <v>48</v>
      </c>
      <c r="C2" s="545"/>
      <c r="D2" s="545"/>
      <c r="E2" s="545"/>
      <c r="F2" s="545"/>
      <c r="G2" s="545"/>
      <c r="H2" s="545"/>
      <c r="I2" s="545"/>
      <c r="J2" s="545"/>
      <c r="K2" s="545"/>
      <c r="L2" s="546"/>
    </row>
    <row r="3" spans="2:12" x14ac:dyDescent="0.2">
      <c r="B3" s="547" t="s">
        <v>49</v>
      </c>
      <c r="C3" s="548"/>
      <c r="D3" s="548"/>
      <c r="E3" s="548"/>
      <c r="F3" s="548"/>
      <c r="G3" s="548"/>
      <c r="H3" s="548"/>
      <c r="I3" s="548"/>
      <c r="J3" s="548"/>
      <c r="K3" s="548"/>
      <c r="L3" s="549"/>
    </row>
    <row r="4" spans="2:12" ht="15" customHeight="1" x14ac:dyDescent="0.2">
      <c r="B4" s="550" t="s">
        <v>50</v>
      </c>
      <c r="C4" s="550"/>
      <c r="D4" s="551" t="s">
        <v>51</v>
      </c>
      <c r="E4" s="551"/>
      <c r="F4" s="551"/>
      <c r="G4" s="400"/>
      <c r="H4" s="400"/>
      <c r="I4" s="400"/>
      <c r="J4" s="400"/>
      <c r="K4" s="400"/>
      <c r="L4" s="401"/>
    </row>
    <row r="5" spans="2:12" ht="30" customHeight="1" x14ac:dyDescent="0.2">
      <c r="B5" s="56" t="s">
        <v>1</v>
      </c>
      <c r="C5" s="57" t="s">
        <v>2</v>
      </c>
      <c r="D5" s="57" t="s">
        <v>2</v>
      </c>
      <c r="E5" s="5" t="s">
        <v>3</v>
      </c>
      <c r="F5" s="5" t="s">
        <v>4</v>
      </c>
      <c r="G5" s="89" t="s">
        <v>6</v>
      </c>
      <c r="H5" s="83" t="s">
        <v>7</v>
      </c>
      <c r="I5" s="83" t="s">
        <v>52</v>
      </c>
      <c r="J5" s="83" t="s">
        <v>53</v>
      </c>
      <c r="K5" s="5" t="s">
        <v>10</v>
      </c>
      <c r="L5" s="5" t="s">
        <v>11</v>
      </c>
    </row>
    <row r="6" spans="2:12" x14ac:dyDescent="0.2">
      <c r="B6" s="58"/>
      <c r="C6" s="59"/>
      <c r="D6" s="59"/>
      <c r="E6" s="13"/>
      <c r="F6" s="13"/>
      <c r="G6" s="24"/>
      <c r="H6" s="60"/>
      <c r="I6" s="61"/>
      <c r="J6" s="61"/>
      <c r="K6" s="61"/>
      <c r="L6" s="60">
        <f>I838</f>
        <v>0</v>
      </c>
    </row>
    <row r="7" spans="2:12" x14ac:dyDescent="0.2">
      <c r="B7" s="110">
        <v>43467</v>
      </c>
      <c r="C7" s="111" t="s">
        <v>74</v>
      </c>
      <c r="D7" s="11"/>
      <c r="E7" s="15" t="s">
        <v>75</v>
      </c>
      <c r="F7" s="13"/>
      <c r="G7" s="15"/>
      <c r="H7" s="357">
        <v>308</v>
      </c>
      <c r="I7" s="12">
        <f>H7*0.32</f>
        <v>98.56</v>
      </c>
      <c r="J7" s="12">
        <f>H7*0.68</f>
        <v>209.44000000000003</v>
      </c>
      <c r="K7" s="12"/>
      <c r="L7" s="63">
        <f>+J7-K7+L6</f>
        <v>209.44000000000003</v>
      </c>
    </row>
    <row r="8" spans="2:12" x14ac:dyDescent="0.2">
      <c r="B8" s="110">
        <v>43468</v>
      </c>
      <c r="C8" s="111" t="s">
        <v>74</v>
      </c>
      <c r="D8" s="11"/>
      <c r="E8" s="15" t="s">
        <v>75</v>
      </c>
      <c r="F8" s="13"/>
      <c r="G8" s="15"/>
      <c r="H8" s="357">
        <v>472</v>
      </c>
      <c r="I8" s="12">
        <f t="shared" ref="I8:I54" si="0">H8*0.32</f>
        <v>151.04</v>
      </c>
      <c r="J8" s="12">
        <f t="shared" ref="J8:J54" si="1">H8*0.68</f>
        <v>320.96000000000004</v>
      </c>
      <c r="K8" s="12"/>
      <c r="L8" s="63">
        <f t="shared" ref="L8:L68" si="2">+J8-K8+L7</f>
        <v>530.40000000000009</v>
      </c>
    </row>
    <row r="9" spans="2:12" x14ac:dyDescent="0.2">
      <c r="B9" s="110">
        <v>43469</v>
      </c>
      <c r="C9" s="111" t="s">
        <v>74</v>
      </c>
      <c r="D9" s="11"/>
      <c r="E9" s="15" t="s">
        <v>75</v>
      </c>
      <c r="F9" s="13"/>
      <c r="G9" s="15"/>
      <c r="H9" s="357">
        <v>1104</v>
      </c>
      <c r="I9" s="12">
        <f t="shared" si="0"/>
        <v>353.28000000000003</v>
      </c>
      <c r="J9" s="12">
        <f t="shared" si="1"/>
        <v>750.72</v>
      </c>
      <c r="K9" s="12"/>
      <c r="L9" s="63">
        <f t="shared" si="2"/>
        <v>1281.1200000000001</v>
      </c>
    </row>
    <row r="10" spans="2:12" x14ac:dyDescent="0.2">
      <c r="B10" s="110">
        <v>43470</v>
      </c>
      <c r="C10" s="111" t="s">
        <v>74</v>
      </c>
      <c r="D10" s="77"/>
      <c r="E10" s="15" t="s">
        <v>75</v>
      </c>
      <c r="F10" s="13"/>
      <c r="G10" s="66"/>
      <c r="H10" s="357">
        <f>2103-235</f>
        <v>1868</v>
      </c>
      <c r="I10" s="12">
        <f t="shared" si="0"/>
        <v>597.76</v>
      </c>
      <c r="J10" s="12">
        <f t="shared" si="1"/>
        <v>1270.24</v>
      </c>
      <c r="K10" s="12"/>
      <c r="L10" s="63">
        <f t="shared" si="2"/>
        <v>2551.36</v>
      </c>
    </row>
    <row r="11" spans="2:12" x14ac:dyDescent="0.2">
      <c r="B11" s="110">
        <v>43472</v>
      </c>
      <c r="C11" s="111" t="s">
        <v>74</v>
      </c>
      <c r="D11" s="11"/>
      <c r="E11" s="15" t="s">
        <v>75</v>
      </c>
      <c r="F11" s="67"/>
      <c r="G11" s="15"/>
      <c r="H11" s="357">
        <f>1503-15</f>
        <v>1488</v>
      </c>
      <c r="I11" s="12">
        <f t="shared" si="0"/>
        <v>476.16</v>
      </c>
      <c r="J11" s="12">
        <f t="shared" si="1"/>
        <v>1011.84</v>
      </c>
      <c r="K11" s="12"/>
      <c r="L11" s="63">
        <f t="shared" si="2"/>
        <v>3563.2000000000003</v>
      </c>
    </row>
    <row r="12" spans="2:12" x14ac:dyDescent="0.2">
      <c r="B12" s="110">
        <v>43473</v>
      </c>
      <c r="C12" s="111" t="s">
        <v>74</v>
      </c>
      <c r="D12" s="11"/>
      <c r="E12" s="15" t="s">
        <v>75</v>
      </c>
      <c r="F12" s="67"/>
      <c r="G12" s="15"/>
      <c r="H12" s="357">
        <f>1292-164</f>
        <v>1128</v>
      </c>
      <c r="I12" s="12">
        <f t="shared" si="0"/>
        <v>360.96</v>
      </c>
      <c r="J12" s="12">
        <f t="shared" si="1"/>
        <v>767.04000000000008</v>
      </c>
      <c r="K12" s="12"/>
      <c r="L12" s="63">
        <f t="shared" si="2"/>
        <v>4330.2400000000007</v>
      </c>
    </row>
    <row r="13" spans="2:12" x14ac:dyDescent="0.2">
      <c r="B13" s="110">
        <v>43474</v>
      </c>
      <c r="C13" s="111" t="s">
        <v>74</v>
      </c>
      <c r="D13" s="11"/>
      <c r="E13" s="15" t="s">
        <v>75</v>
      </c>
      <c r="F13" s="67"/>
      <c r="G13" s="15"/>
      <c r="H13" s="357">
        <f>1696-160</f>
        <v>1536</v>
      </c>
      <c r="I13" s="12">
        <f t="shared" si="0"/>
        <v>491.52</v>
      </c>
      <c r="J13" s="12">
        <f t="shared" si="1"/>
        <v>1044.48</v>
      </c>
      <c r="K13" s="12"/>
      <c r="L13" s="63">
        <f t="shared" si="2"/>
        <v>5374.7200000000012</v>
      </c>
    </row>
    <row r="14" spans="2:12" x14ac:dyDescent="0.2">
      <c r="B14" s="110">
        <v>43475</v>
      </c>
      <c r="C14" s="111" t="s">
        <v>74</v>
      </c>
      <c r="D14" s="11"/>
      <c r="E14" s="15" t="s">
        <v>75</v>
      </c>
      <c r="F14" s="67"/>
      <c r="G14" s="15"/>
      <c r="H14" s="357">
        <f>3003-235</f>
        <v>2768</v>
      </c>
      <c r="I14" s="12">
        <f t="shared" si="0"/>
        <v>885.76</v>
      </c>
      <c r="J14" s="12">
        <f t="shared" si="1"/>
        <v>1882.2400000000002</v>
      </c>
      <c r="K14" s="12"/>
      <c r="L14" s="63">
        <f t="shared" si="2"/>
        <v>7256.9600000000009</v>
      </c>
    </row>
    <row r="15" spans="2:12" x14ac:dyDescent="0.2">
      <c r="B15" s="110">
        <v>43476</v>
      </c>
      <c r="C15" s="111" t="s">
        <v>74</v>
      </c>
      <c r="D15" s="11"/>
      <c r="E15" s="15" t="s">
        <v>75</v>
      </c>
      <c r="F15" s="67"/>
      <c r="G15" s="15"/>
      <c r="H15" s="357">
        <f>2766-468</f>
        <v>2298</v>
      </c>
      <c r="I15" s="12">
        <f t="shared" si="0"/>
        <v>735.36</v>
      </c>
      <c r="J15" s="12">
        <f t="shared" si="1"/>
        <v>1562.64</v>
      </c>
      <c r="K15" s="12"/>
      <c r="L15" s="63">
        <f t="shared" si="2"/>
        <v>8819.6</v>
      </c>
    </row>
    <row r="16" spans="2:12" x14ac:dyDescent="0.2">
      <c r="B16" s="110">
        <v>43477</v>
      </c>
      <c r="C16" s="111" t="s">
        <v>74</v>
      </c>
      <c r="D16" s="11"/>
      <c r="E16" s="15" t="s">
        <v>75</v>
      </c>
      <c r="F16" s="67"/>
      <c r="G16" s="15"/>
      <c r="H16" s="357">
        <v>144</v>
      </c>
      <c r="I16" s="12">
        <f t="shared" si="0"/>
        <v>46.08</v>
      </c>
      <c r="J16" s="12">
        <f t="shared" si="1"/>
        <v>97.92</v>
      </c>
      <c r="K16" s="12"/>
      <c r="L16" s="63">
        <f t="shared" si="2"/>
        <v>8917.52</v>
      </c>
    </row>
    <row r="17" spans="2:12" x14ac:dyDescent="0.2">
      <c r="B17" s="110">
        <v>43479</v>
      </c>
      <c r="C17" s="111" t="s">
        <v>74</v>
      </c>
      <c r="D17" s="11"/>
      <c r="E17" s="15" t="s">
        <v>75</v>
      </c>
      <c r="F17" s="67"/>
      <c r="G17" s="15"/>
      <c r="H17" s="357">
        <f>2067-120</f>
        <v>1947</v>
      </c>
      <c r="I17" s="12">
        <f t="shared" si="0"/>
        <v>623.04</v>
      </c>
      <c r="J17" s="12">
        <f t="shared" si="1"/>
        <v>1323.96</v>
      </c>
      <c r="K17" s="12"/>
      <c r="L17" s="63">
        <f t="shared" si="2"/>
        <v>10241.48</v>
      </c>
    </row>
    <row r="18" spans="2:12" x14ac:dyDescent="0.2">
      <c r="B18" s="110">
        <v>43480</v>
      </c>
      <c r="C18" s="111" t="s">
        <v>74</v>
      </c>
      <c r="D18" s="11"/>
      <c r="E18" s="15" t="s">
        <v>75</v>
      </c>
      <c r="F18" s="67"/>
      <c r="G18" s="15"/>
      <c r="H18" s="357">
        <v>656</v>
      </c>
      <c r="I18" s="12">
        <f t="shared" si="0"/>
        <v>209.92000000000002</v>
      </c>
      <c r="J18" s="12">
        <f t="shared" si="1"/>
        <v>446.08000000000004</v>
      </c>
      <c r="K18" s="12"/>
      <c r="L18" s="63">
        <f t="shared" si="2"/>
        <v>10687.56</v>
      </c>
    </row>
    <row r="19" spans="2:12" x14ac:dyDescent="0.2">
      <c r="B19" s="110">
        <v>43481</v>
      </c>
      <c r="C19" s="111" t="s">
        <v>74</v>
      </c>
      <c r="D19" s="11"/>
      <c r="E19" s="15" t="s">
        <v>75</v>
      </c>
      <c r="F19" s="67"/>
      <c r="G19" s="15"/>
      <c r="H19" s="357">
        <f>647-155</f>
        <v>492</v>
      </c>
      <c r="I19" s="12">
        <f t="shared" si="0"/>
        <v>157.44</v>
      </c>
      <c r="J19" s="12">
        <f t="shared" si="1"/>
        <v>334.56</v>
      </c>
      <c r="K19" s="12"/>
      <c r="L19" s="63">
        <f t="shared" si="2"/>
        <v>11022.119999999999</v>
      </c>
    </row>
    <row r="20" spans="2:12" x14ac:dyDescent="0.2">
      <c r="B20" s="110">
        <v>43482</v>
      </c>
      <c r="C20" s="111" t="s">
        <v>74</v>
      </c>
      <c r="D20" s="11"/>
      <c r="E20" s="15" t="s">
        <v>75</v>
      </c>
      <c r="F20" s="67"/>
      <c r="G20" s="15"/>
      <c r="H20" s="357">
        <v>596</v>
      </c>
      <c r="I20" s="12">
        <f t="shared" si="0"/>
        <v>190.72</v>
      </c>
      <c r="J20" s="12">
        <f t="shared" si="1"/>
        <v>405.28000000000003</v>
      </c>
      <c r="K20" s="12"/>
      <c r="L20" s="63">
        <f t="shared" si="2"/>
        <v>11427.4</v>
      </c>
    </row>
    <row r="21" spans="2:12" x14ac:dyDescent="0.2">
      <c r="B21" s="110">
        <v>43483</v>
      </c>
      <c r="C21" s="111" t="s">
        <v>74</v>
      </c>
      <c r="D21" s="77"/>
      <c r="E21" s="15" t="s">
        <v>75</v>
      </c>
      <c r="F21" s="13"/>
      <c r="G21" s="66"/>
      <c r="H21" s="357">
        <v>144</v>
      </c>
      <c r="I21" s="12">
        <f t="shared" si="0"/>
        <v>46.08</v>
      </c>
      <c r="J21" s="12">
        <f t="shared" si="1"/>
        <v>97.92</v>
      </c>
      <c r="K21" s="12"/>
      <c r="L21" s="63">
        <f t="shared" si="2"/>
        <v>11525.32</v>
      </c>
    </row>
    <row r="22" spans="2:12" x14ac:dyDescent="0.2">
      <c r="B22" s="110">
        <v>43484</v>
      </c>
      <c r="C22" s="111" t="s">
        <v>74</v>
      </c>
      <c r="D22" s="11"/>
      <c r="E22" s="15" t="s">
        <v>75</v>
      </c>
      <c r="F22" s="13"/>
      <c r="G22" s="15"/>
      <c r="H22" s="357">
        <v>164</v>
      </c>
      <c r="I22" s="12">
        <f t="shared" si="0"/>
        <v>52.480000000000004</v>
      </c>
      <c r="J22" s="12">
        <f t="shared" si="1"/>
        <v>111.52000000000001</v>
      </c>
      <c r="K22" s="12"/>
      <c r="L22" s="63">
        <f t="shared" si="2"/>
        <v>11636.84</v>
      </c>
    </row>
    <row r="23" spans="2:12" x14ac:dyDescent="0.2">
      <c r="B23" s="110">
        <v>43486</v>
      </c>
      <c r="C23" s="111" t="s">
        <v>78</v>
      </c>
      <c r="D23" s="11"/>
      <c r="E23" s="15" t="s">
        <v>85</v>
      </c>
      <c r="F23" s="13"/>
      <c r="G23" s="112">
        <v>42512</v>
      </c>
      <c r="H23" s="357">
        <v>712</v>
      </c>
      <c r="I23" s="12">
        <f t="shared" si="0"/>
        <v>227.84</v>
      </c>
      <c r="J23" s="12">
        <f t="shared" si="1"/>
        <v>484.16</v>
      </c>
      <c r="K23" s="12"/>
      <c r="L23" s="63">
        <f t="shared" si="2"/>
        <v>12121</v>
      </c>
    </row>
    <row r="24" spans="2:12" x14ac:dyDescent="0.2">
      <c r="B24" s="110">
        <v>43488</v>
      </c>
      <c r="C24" s="111" t="s">
        <v>79</v>
      </c>
      <c r="D24" s="11"/>
      <c r="E24" s="15" t="s">
        <v>85</v>
      </c>
      <c r="F24" s="13"/>
      <c r="G24" s="15"/>
      <c r="H24" s="357">
        <v>164</v>
      </c>
      <c r="I24" s="12">
        <f t="shared" si="0"/>
        <v>52.480000000000004</v>
      </c>
      <c r="J24" s="12">
        <f t="shared" si="1"/>
        <v>111.52000000000001</v>
      </c>
      <c r="K24" s="12"/>
      <c r="L24" s="63">
        <f t="shared" si="2"/>
        <v>12232.52</v>
      </c>
    </row>
    <row r="25" spans="2:12" x14ac:dyDescent="0.2">
      <c r="B25" s="110">
        <v>43489</v>
      </c>
      <c r="C25" s="111" t="s">
        <v>80</v>
      </c>
      <c r="D25" s="11"/>
      <c r="E25" s="15" t="s">
        <v>85</v>
      </c>
      <c r="F25" s="13"/>
      <c r="G25" s="15"/>
      <c r="H25" s="357">
        <v>164</v>
      </c>
      <c r="I25" s="12">
        <f t="shared" si="0"/>
        <v>52.480000000000004</v>
      </c>
      <c r="J25" s="12">
        <f t="shared" si="1"/>
        <v>111.52000000000001</v>
      </c>
      <c r="K25" s="12"/>
      <c r="L25" s="63">
        <f t="shared" si="2"/>
        <v>12344.04</v>
      </c>
    </row>
    <row r="26" spans="2:12" x14ac:dyDescent="0.2">
      <c r="B26" s="110">
        <v>43493</v>
      </c>
      <c r="C26" s="111" t="s">
        <v>81</v>
      </c>
      <c r="D26" s="11"/>
      <c r="E26" s="15" t="s">
        <v>85</v>
      </c>
      <c r="F26" s="13"/>
      <c r="G26" s="15"/>
      <c r="H26" s="357">
        <v>308</v>
      </c>
      <c r="I26" s="12">
        <f t="shared" si="0"/>
        <v>98.56</v>
      </c>
      <c r="J26" s="12">
        <f t="shared" si="1"/>
        <v>209.44000000000003</v>
      </c>
      <c r="K26" s="12"/>
      <c r="L26" s="63">
        <f t="shared" si="2"/>
        <v>12553.480000000001</v>
      </c>
    </row>
    <row r="27" spans="2:12" x14ac:dyDescent="0.2">
      <c r="B27" s="110">
        <v>43494</v>
      </c>
      <c r="C27" s="111" t="s">
        <v>82</v>
      </c>
      <c r="D27" s="11"/>
      <c r="E27" s="15" t="s">
        <v>85</v>
      </c>
      <c r="F27" s="13"/>
      <c r="G27" s="15"/>
      <c r="H27" s="357">
        <v>164</v>
      </c>
      <c r="I27" s="12">
        <f t="shared" si="0"/>
        <v>52.480000000000004</v>
      </c>
      <c r="J27" s="12">
        <f t="shared" si="1"/>
        <v>111.52000000000001</v>
      </c>
      <c r="K27" s="12"/>
      <c r="L27" s="63">
        <f t="shared" si="2"/>
        <v>12665.000000000002</v>
      </c>
    </row>
    <row r="28" spans="2:12" x14ac:dyDescent="0.2">
      <c r="B28" s="110">
        <v>43495</v>
      </c>
      <c r="C28" s="111" t="s">
        <v>83</v>
      </c>
      <c r="D28" s="11"/>
      <c r="E28" s="15" t="s">
        <v>85</v>
      </c>
      <c r="F28" s="13"/>
      <c r="G28" s="15"/>
      <c r="H28" s="357">
        <v>390</v>
      </c>
      <c r="I28" s="12">
        <f t="shared" si="0"/>
        <v>124.8</v>
      </c>
      <c r="J28" s="12">
        <f t="shared" si="1"/>
        <v>265.20000000000005</v>
      </c>
      <c r="K28" s="12"/>
      <c r="L28" s="63">
        <f t="shared" si="2"/>
        <v>12930.200000000003</v>
      </c>
    </row>
    <row r="29" spans="2:12" x14ac:dyDescent="0.2">
      <c r="B29" s="110">
        <v>43496</v>
      </c>
      <c r="C29" s="111" t="s">
        <v>84</v>
      </c>
      <c r="D29" s="11"/>
      <c r="E29" s="15" t="s">
        <v>85</v>
      </c>
      <c r="F29" s="13"/>
      <c r="G29" s="15"/>
      <c r="H29" s="357">
        <v>504</v>
      </c>
      <c r="I29" s="12">
        <f t="shared" si="0"/>
        <v>161.28</v>
      </c>
      <c r="J29" s="12">
        <f t="shared" si="1"/>
        <v>342.72</v>
      </c>
      <c r="K29" s="12"/>
      <c r="L29" s="63">
        <f t="shared" si="2"/>
        <v>13272.920000000002</v>
      </c>
    </row>
    <row r="30" spans="2:12" x14ac:dyDescent="0.2">
      <c r="B30" s="110">
        <v>43467</v>
      </c>
      <c r="C30" s="111"/>
      <c r="D30" s="11"/>
      <c r="E30" s="15" t="s">
        <v>571</v>
      </c>
      <c r="F30" s="13"/>
      <c r="G30" s="15"/>
      <c r="H30" s="112">
        <v>694</v>
      </c>
      <c r="I30" s="12">
        <f t="shared" si="0"/>
        <v>222.08</v>
      </c>
      <c r="J30" s="12">
        <f t="shared" si="1"/>
        <v>471.92</v>
      </c>
      <c r="K30" s="12"/>
      <c r="L30" s="63">
        <f t="shared" si="2"/>
        <v>13744.840000000002</v>
      </c>
    </row>
    <row r="31" spans="2:12" x14ac:dyDescent="0.2">
      <c r="B31" s="110">
        <v>43468</v>
      </c>
      <c r="C31" s="111"/>
      <c r="D31" s="11"/>
      <c r="E31" s="15" t="s">
        <v>571</v>
      </c>
      <c r="F31" s="13"/>
      <c r="G31" s="15"/>
      <c r="H31" s="112">
        <v>4432</v>
      </c>
      <c r="I31" s="12">
        <f t="shared" si="0"/>
        <v>1418.24</v>
      </c>
      <c r="J31" s="12">
        <f t="shared" si="1"/>
        <v>3013.76</v>
      </c>
      <c r="K31" s="12"/>
      <c r="L31" s="63">
        <f t="shared" si="2"/>
        <v>16758.600000000002</v>
      </c>
    </row>
    <row r="32" spans="2:12" x14ac:dyDescent="0.2">
      <c r="B32" s="110">
        <v>43469</v>
      </c>
      <c r="C32" s="111"/>
      <c r="D32" s="11"/>
      <c r="E32" s="15" t="s">
        <v>571</v>
      </c>
      <c r="F32" s="13"/>
      <c r="G32" s="15"/>
      <c r="H32" s="112">
        <v>4676</v>
      </c>
      <c r="I32" s="12">
        <f t="shared" si="0"/>
        <v>1496.32</v>
      </c>
      <c r="J32" s="12">
        <f t="shared" si="1"/>
        <v>3179.6800000000003</v>
      </c>
      <c r="K32" s="12"/>
      <c r="L32" s="63">
        <f t="shared" si="2"/>
        <v>19938.280000000002</v>
      </c>
    </row>
    <row r="33" spans="2:12" x14ac:dyDescent="0.2">
      <c r="B33" s="110">
        <v>43470</v>
      </c>
      <c r="C33" s="111"/>
      <c r="D33" s="11"/>
      <c r="E33" s="15" t="s">
        <v>571</v>
      </c>
      <c r="F33" s="13"/>
      <c r="G33" s="15"/>
      <c r="H33" s="112">
        <v>308</v>
      </c>
      <c r="I33" s="12">
        <f t="shared" si="0"/>
        <v>98.56</v>
      </c>
      <c r="J33" s="12">
        <f t="shared" si="1"/>
        <v>209.44000000000003</v>
      </c>
      <c r="K33" s="12"/>
      <c r="L33" s="63">
        <f t="shared" si="2"/>
        <v>20147.72</v>
      </c>
    </row>
    <row r="34" spans="2:12" x14ac:dyDescent="0.2">
      <c r="B34" s="110">
        <v>43472</v>
      </c>
      <c r="C34" s="111"/>
      <c r="D34" s="11"/>
      <c r="E34" s="15" t="s">
        <v>571</v>
      </c>
      <c r="F34" s="13"/>
      <c r="G34" s="15"/>
      <c r="H34" s="112">
        <v>4924</v>
      </c>
      <c r="I34" s="12">
        <f t="shared" si="0"/>
        <v>1575.68</v>
      </c>
      <c r="J34" s="12">
        <f t="shared" si="1"/>
        <v>3348.32</v>
      </c>
      <c r="K34" s="12"/>
      <c r="L34" s="63">
        <f t="shared" si="2"/>
        <v>23496.04</v>
      </c>
    </row>
    <row r="35" spans="2:12" x14ac:dyDescent="0.2">
      <c r="B35" s="110">
        <v>43473</v>
      </c>
      <c r="C35" s="111"/>
      <c r="D35" s="11"/>
      <c r="E35" s="15" t="s">
        <v>571</v>
      </c>
      <c r="F35" s="13"/>
      <c r="G35" s="15"/>
      <c r="H35" s="112">
        <v>2986</v>
      </c>
      <c r="I35" s="12">
        <f t="shared" si="0"/>
        <v>955.52</v>
      </c>
      <c r="J35" s="12">
        <f t="shared" si="1"/>
        <v>2030.4800000000002</v>
      </c>
      <c r="K35" s="12"/>
      <c r="L35" s="63">
        <f t="shared" si="2"/>
        <v>25526.52</v>
      </c>
    </row>
    <row r="36" spans="2:12" x14ac:dyDescent="0.2">
      <c r="B36" s="110">
        <v>43474</v>
      </c>
      <c r="C36" s="111"/>
      <c r="D36" s="11"/>
      <c r="E36" s="15" t="s">
        <v>571</v>
      </c>
      <c r="F36" s="13"/>
      <c r="G36" s="15"/>
      <c r="H36" s="112">
        <v>1128</v>
      </c>
      <c r="I36" s="12">
        <f t="shared" si="0"/>
        <v>360.96</v>
      </c>
      <c r="J36" s="12">
        <f t="shared" si="1"/>
        <v>767.04000000000008</v>
      </c>
      <c r="K36" s="12"/>
      <c r="L36" s="63">
        <f t="shared" si="2"/>
        <v>26293.56</v>
      </c>
    </row>
    <row r="37" spans="2:12" x14ac:dyDescent="0.2">
      <c r="B37" s="110">
        <v>43475</v>
      </c>
      <c r="C37" s="111"/>
      <c r="D37" s="11"/>
      <c r="E37" s="15" t="s">
        <v>571</v>
      </c>
      <c r="F37" s="13"/>
      <c r="G37" s="15"/>
      <c r="H37" s="112">
        <v>3833</v>
      </c>
      <c r="I37" s="12">
        <f t="shared" si="0"/>
        <v>1226.56</v>
      </c>
      <c r="J37" s="12">
        <f t="shared" si="1"/>
        <v>2606.44</v>
      </c>
      <c r="K37" s="12"/>
      <c r="L37" s="63">
        <f t="shared" si="2"/>
        <v>28900</v>
      </c>
    </row>
    <row r="38" spans="2:12" x14ac:dyDescent="0.2">
      <c r="B38" s="110">
        <v>43476</v>
      </c>
      <c r="C38" s="111"/>
      <c r="D38" s="11"/>
      <c r="E38" s="15" t="s">
        <v>571</v>
      </c>
      <c r="F38" s="13"/>
      <c r="G38" s="15"/>
      <c r="H38" s="112">
        <v>4492</v>
      </c>
      <c r="I38" s="12">
        <f t="shared" si="0"/>
        <v>1437.44</v>
      </c>
      <c r="J38" s="12">
        <f t="shared" si="1"/>
        <v>3054.5600000000004</v>
      </c>
      <c r="K38" s="12"/>
      <c r="L38" s="63">
        <f t="shared" si="2"/>
        <v>31954.560000000001</v>
      </c>
    </row>
    <row r="39" spans="2:12" x14ac:dyDescent="0.2">
      <c r="B39" s="110">
        <v>43477</v>
      </c>
      <c r="C39" s="111"/>
      <c r="D39" s="11"/>
      <c r="E39" s="15" t="s">
        <v>571</v>
      </c>
      <c r="F39" s="13"/>
      <c r="G39" s="15"/>
      <c r="H39" s="112">
        <v>328</v>
      </c>
      <c r="I39" s="12">
        <f t="shared" si="0"/>
        <v>104.96000000000001</v>
      </c>
      <c r="J39" s="12">
        <f t="shared" si="1"/>
        <v>223.04000000000002</v>
      </c>
      <c r="K39" s="12"/>
      <c r="L39" s="63">
        <f t="shared" si="2"/>
        <v>32177.600000000002</v>
      </c>
    </row>
    <row r="40" spans="2:12" x14ac:dyDescent="0.2">
      <c r="B40" s="110">
        <v>43479</v>
      </c>
      <c r="C40" s="111"/>
      <c r="D40" s="11"/>
      <c r="E40" s="15" t="s">
        <v>571</v>
      </c>
      <c r="F40" s="13"/>
      <c r="G40" s="15"/>
      <c r="H40" s="112">
        <v>2072</v>
      </c>
      <c r="I40" s="12">
        <f t="shared" si="0"/>
        <v>663.04</v>
      </c>
      <c r="J40" s="12">
        <f t="shared" si="1"/>
        <v>1408.96</v>
      </c>
      <c r="K40" s="12"/>
      <c r="L40" s="63">
        <f t="shared" si="2"/>
        <v>33586.560000000005</v>
      </c>
    </row>
    <row r="41" spans="2:12" x14ac:dyDescent="0.2">
      <c r="B41" s="110">
        <v>43480</v>
      </c>
      <c r="C41" s="111"/>
      <c r="D41" s="11"/>
      <c r="E41" s="15" t="s">
        <v>571</v>
      </c>
      <c r="F41" s="13"/>
      <c r="G41" s="15"/>
      <c r="H41" s="112">
        <v>1582</v>
      </c>
      <c r="I41" s="12">
        <f t="shared" si="0"/>
        <v>506.24</v>
      </c>
      <c r="J41" s="12">
        <f t="shared" si="1"/>
        <v>1075.76</v>
      </c>
      <c r="K41" s="12"/>
      <c r="L41" s="63">
        <f t="shared" si="2"/>
        <v>34662.320000000007</v>
      </c>
    </row>
    <row r="42" spans="2:12" x14ac:dyDescent="0.2">
      <c r="B42" s="110">
        <v>43481</v>
      </c>
      <c r="C42" s="111"/>
      <c r="D42" s="11"/>
      <c r="E42" s="15" t="s">
        <v>571</v>
      </c>
      <c r="F42" s="13"/>
      <c r="G42" s="15"/>
      <c r="H42" s="112">
        <v>648</v>
      </c>
      <c r="I42" s="12">
        <f t="shared" si="0"/>
        <v>207.36</v>
      </c>
      <c r="J42" s="12">
        <f t="shared" si="1"/>
        <v>440.64000000000004</v>
      </c>
      <c r="K42" s="12"/>
      <c r="L42" s="63">
        <f t="shared" si="2"/>
        <v>35102.960000000006</v>
      </c>
    </row>
    <row r="43" spans="2:12" x14ac:dyDescent="0.2">
      <c r="B43" s="110">
        <v>43482</v>
      </c>
      <c r="C43" s="111"/>
      <c r="D43" s="11"/>
      <c r="E43" s="15" t="s">
        <v>571</v>
      </c>
      <c r="F43" s="13"/>
      <c r="G43" s="15"/>
      <c r="H43" s="112">
        <v>1168</v>
      </c>
      <c r="I43" s="12">
        <f t="shared" si="0"/>
        <v>373.76</v>
      </c>
      <c r="J43" s="12">
        <f t="shared" si="1"/>
        <v>794.24</v>
      </c>
      <c r="K43" s="12"/>
      <c r="L43" s="63">
        <f t="shared" si="2"/>
        <v>35897.200000000004</v>
      </c>
    </row>
    <row r="44" spans="2:12" x14ac:dyDescent="0.2">
      <c r="B44" s="110">
        <v>43483</v>
      </c>
      <c r="C44" s="111"/>
      <c r="D44" s="11"/>
      <c r="E44" s="15" t="s">
        <v>571</v>
      </c>
      <c r="F44" s="13"/>
      <c r="G44" s="15"/>
      <c r="H44" s="112">
        <v>1346</v>
      </c>
      <c r="I44" s="12">
        <f t="shared" si="0"/>
        <v>430.72</v>
      </c>
      <c r="J44" s="12">
        <f t="shared" si="1"/>
        <v>915.28000000000009</v>
      </c>
      <c r="K44" s="12"/>
      <c r="L44" s="63">
        <f t="shared" si="2"/>
        <v>36812.480000000003</v>
      </c>
    </row>
    <row r="45" spans="2:12" x14ac:dyDescent="0.2">
      <c r="B45" s="110">
        <v>43484</v>
      </c>
      <c r="C45" s="111"/>
      <c r="D45" s="11"/>
      <c r="E45" s="15" t="s">
        <v>571</v>
      </c>
      <c r="F45" s="13"/>
      <c r="G45" s="15"/>
      <c r="H45" s="112">
        <v>308</v>
      </c>
      <c r="I45" s="12">
        <f t="shared" si="0"/>
        <v>98.56</v>
      </c>
      <c r="J45" s="12">
        <f t="shared" si="1"/>
        <v>209.44000000000003</v>
      </c>
      <c r="K45" s="12"/>
      <c r="L45" s="63">
        <f t="shared" si="2"/>
        <v>37021.920000000006</v>
      </c>
    </row>
    <row r="46" spans="2:12" x14ac:dyDescent="0.2">
      <c r="B46" s="110">
        <v>43486</v>
      </c>
      <c r="C46" s="111"/>
      <c r="D46" s="11"/>
      <c r="E46" s="15" t="s">
        <v>571</v>
      </c>
      <c r="F46" s="13"/>
      <c r="G46" s="15"/>
      <c r="H46" s="112">
        <v>880</v>
      </c>
      <c r="I46" s="12">
        <f t="shared" si="0"/>
        <v>281.60000000000002</v>
      </c>
      <c r="J46" s="12">
        <f t="shared" si="1"/>
        <v>598.40000000000009</v>
      </c>
      <c r="K46" s="12"/>
      <c r="L46" s="63">
        <f t="shared" si="2"/>
        <v>37620.320000000007</v>
      </c>
    </row>
    <row r="47" spans="2:12" x14ac:dyDescent="0.2">
      <c r="B47" s="110">
        <v>43487</v>
      </c>
      <c r="C47" s="111"/>
      <c r="D47" s="11"/>
      <c r="E47" s="15" t="s">
        <v>571</v>
      </c>
      <c r="F47" s="13"/>
      <c r="G47" s="15"/>
      <c r="H47" s="112">
        <f>164+150</f>
        <v>314</v>
      </c>
      <c r="I47" s="12">
        <f t="shared" si="0"/>
        <v>100.48</v>
      </c>
      <c r="J47" s="12">
        <f t="shared" si="1"/>
        <v>213.52</v>
      </c>
      <c r="K47" s="12"/>
      <c r="L47" s="63">
        <f t="shared" si="2"/>
        <v>37833.840000000004</v>
      </c>
    </row>
    <row r="48" spans="2:12" x14ac:dyDescent="0.2">
      <c r="B48" s="110">
        <v>43488</v>
      </c>
      <c r="C48" s="111"/>
      <c r="D48" s="11"/>
      <c r="E48" s="15" t="s">
        <v>571</v>
      </c>
      <c r="F48" s="13"/>
      <c r="G48" s="15"/>
      <c r="H48" s="112">
        <v>1410</v>
      </c>
      <c r="I48" s="12">
        <f t="shared" si="0"/>
        <v>451.2</v>
      </c>
      <c r="J48" s="12">
        <f t="shared" si="1"/>
        <v>958.80000000000007</v>
      </c>
      <c r="K48" s="12"/>
      <c r="L48" s="63">
        <f t="shared" si="2"/>
        <v>38792.640000000007</v>
      </c>
    </row>
    <row r="49" spans="2:12" x14ac:dyDescent="0.2">
      <c r="B49" s="110">
        <v>43489</v>
      </c>
      <c r="C49" s="111"/>
      <c r="D49" s="11"/>
      <c r="E49" s="15" t="s">
        <v>571</v>
      </c>
      <c r="F49" s="13"/>
      <c r="G49" s="15"/>
      <c r="H49" s="112">
        <v>1070</v>
      </c>
      <c r="I49" s="12">
        <f t="shared" si="0"/>
        <v>342.40000000000003</v>
      </c>
      <c r="J49" s="12">
        <f t="shared" si="1"/>
        <v>727.6</v>
      </c>
      <c r="K49" s="12"/>
      <c r="L49" s="63">
        <f t="shared" si="2"/>
        <v>39520.240000000005</v>
      </c>
    </row>
    <row r="50" spans="2:12" x14ac:dyDescent="0.2">
      <c r="B50" s="110">
        <v>43490</v>
      </c>
      <c r="C50" s="111"/>
      <c r="D50" s="11"/>
      <c r="E50" s="15" t="s">
        <v>571</v>
      </c>
      <c r="F50" s="13"/>
      <c r="G50" s="15"/>
      <c r="H50" s="112">
        <v>264</v>
      </c>
      <c r="I50" s="12">
        <f t="shared" si="0"/>
        <v>84.48</v>
      </c>
      <c r="J50" s="12">
        <f t="shared" si="1"/>
        <v>179.52</v>
      </c>
      <c r="K50" s="12"/>
      <c r="L50" s="63">
        <f t="shared" si="2"/>
        <v>39699.760000000002</v>
      </c>
    </row>
    <row r="51" spans="2:12" x14ac:dyDescent="0.2">
      <c r="B51" s="110">
        <v>43493</v>
      </c>
      <c r="C51" s="111"/>
      <c r="D51" s="11"/>
      <c r="E51" s="15" t="s">
        <v>571</v>
      </c>
      <c r="F51" s="13"/>
      <c r="G51" s="15"/>
      <c r="H51" s="112">
        <v>284</v>
      </c>
      <c r="I51" s="12">
        <f t="shared" si="0"/>
        <v>90.88</v>
      </c>
      <c r="J51" s="12">
        <f t="shared" si="1"/>
        <v>193.12</v>
      </c>
      <c r="K51" s="12"/>
      <c r="L51" s="63">
        <f t="shared" si="2"/>
        <v>39892.880000000005</v>
      </c>
    </row>
    <row r="52" spans="2:12" x14ac:dyDescent="0.2">
      <c r="B52" s="110">
        <v>43494</v>
      </c>
      <c r="C52" s="11"/>
      <c r="D52" s="11"/>
      <c r="E52" s="15" t="s">
        <v>571</v>
      </c>
      <c r="F52" s="13"/>
      <c r="G52" s="15"/>
      <c r="H52" s="62">
        <v>220</v>
      </c>
      <c r="I52" s="12">
        <f t="shared" si="0"/>
        <v>70.400000000000006</v>
      </c>
      <c r="J52" s="12">
        <f t="shared" si="1"/>
        <v>149.60000000000002</v>
      </c>
      <c r="K52" s="12"/>
      <c r="L52" s="63">
        <f t="shared" si="2"/>
        <v>40042.480000000003</v>
      </c>
    </row>
    <row r="53" spans="2:12" x14ac:dyDescent="0.2">
      <c r="B53" s="110">
        <v>43495</v>
      </c>
      <c r="C53" s="11"/>
      <c r="D53" s="11"/>
      <c r="E53" s="15" t="s">
        <v>571</v>
      </c>
      <c r="F53" s="13"/>
      <c r="G53" s="15"/>
      <c r="H53" s="62">
        <v>308</v>
      </c>
      <c r="I53" s="12">
        <f t="shared" si="0"/>
        <v>98.56</v>
      </c>
      <c r="J53" s="12">
        <f t="shared" si="1"/>
        <v>209.44000000000003</v>
      </c>
      <c r="K53" s="12"/>
      <c r="L53" s="63">
        <f t="shared" si="2"/>
        <v>40251.920000000006</v>
      </c>
    </row>
    <row r="54" spans="2:12" x14ac:dyDescent="0.2">
      <c r="B54" s="110">
        <v>43496</v>
      </c>
      <c r="C54" s="11"/>
      <c r="D54" s="11"/>
      <c r="E54" s="15" t="s">
        <v>571</v>
      </c>
      <c r="F54" s="13"/>
      <c r="G54" s="15"/>
      <c r="H54" s="62">
        <v>20</v>
      </c>
      <c r="I54" s="12">
        <f t="shared" si="0"/>
        <v>6.4</v>
      </c>
      <c r="J54" s="12">
        <f t="shared" si="1"/>
        <v>13.600000000000001</v>
      </c>
      <c r="K54" s="12"/>
      <c r="L54" s="63">
        <f t="shared" si="2"/>
        <v>40265.520000000004</v>
      </c>
    </row>
    <row r="55" spans="2:12" x14ac:dyDescent="0.2">
      <c r="B55" s="76"/>
      <c r="C55" s="77"/>
      <c r="D55" s="77"/>
      <c r="E55" s="13"/>
      <c r="F55" s="13"/>
      <c r="G55" s="15"/>
      <c r="H55" s="62"/>
      <c r="I55" s="12"/>
      <c r="J55" s="12"/>
      <c r="K55" s="12"/>
      <c r="L55" s="63">
        <f t="shared" si="2"/>
        <v>40265.520000000004</v>
      </c>
    </row>
    <row r="56" spans="2:12" x14ac:dyDescent="0.2">
      <c r="B56" s="64"/>
      <c r="C56" s="65"/>
      <c r="D56" s="65"/>
      <c r="E56" s="13"/>
      <c r="F56" s="13"/>
      <c r="G56" s="66"/>
      <c r="H56" s="62"/>
      <c r="I56" s="12"/>
      <c r="J56" s="12"/>
      <c r="K56" s="12"/>
      <c r="L56" s="63">
        <f t="shared" si="2"/>
        <v>40265.520000000004</v>
      </c>
    </row>
    <row r="57" spans="2:12" x14ac:dyDescent="0.2">
      <c r="B57" s="547" t="s">
        <v>12</v>
      </c>
      <c r="C57" s="548"/>
      <c r="D57" s="548"/>
      <c r="E57" s="548"/>
      <c r="F57" s="548"/>
      <c r="G57" s="548"/>
      <c r="H57" s="548"/>
      <c r="I57" s="548"/>
      <c r="J57" s="548"/>
      <c r="K57" s="548"/>
      <c r="L57" s="63">
        <f t="shared" si="2"/>
        <v>40265.520000000004</v>
      </c>
    </row>
    <row r="58" spans="2:12" x14ac:dyDescent="0.2">
      <c r="B58" s="552" t="s">
        <v>56</v>
      </c>
      <c r="C58" s="553"/>
      <c r="D58" s="554" t="s">
        <v>51</v>
      </c>
      <c r="E58" s="554"/>
      <c r="F58" s="554"/>
      <c r="G58" s="94"/>
      <c r="H58" s="95"/>
      <c r="I58" s="96"/>
      <c r="J58" s="96"/>
      <c r="K58" s="97"/>
      <c r="L58" s="63">
        <f t="shared" si="2"/>
        <v>40265.520000000004</v>
      </c>
    </row>
    <row r="59" spans="2:12" x14ac:dyDescent="0.2">
      <c r="B59" s="91" t="s">
        <v>1</v>
      </c>
      <c r="C59" s="92" t="s">
        <v>57</v>
      </c>
      <c r="D59" s="92" t="s">
        <v>2</v>
      </c>
      <c r="E59" s="402" t="s">
        <v>3</v>
      </c>
      <c r="F59" s="402" t="s">
        <v>4</v>
      </c>
      <c r="G59" s="561" t="s">
        <v>58</v>
      </c>
      <c r="H59" s="562"/>
      <c r="I59" s="562"/>
      <c r="J59" s="563"/>
      <c r="K59" s="90"/>
      <c r="L59" s="63">
        <f t="shared" si="2"/>
        <v>40265.520000000004</v>
      </c>
    </row>
    <row r="60" spans="2:12" x14ac:dyDescent="0.2">
      <c r="B60" s="10">
        <v>43486</v>
      </c>
      <c r="C60" s="345" t="s">
        <v>59</v>
      </c>
      <c r="E60" s="346"/>
      <c r="F60" s="347"/>
      <c r="G60" s="348" t="s">
        <v>60</v>
      </c>
      <c r="H60" s="348"/>
      <c r="I60" s="348"/>
      <c r="J60" s="98"/>
      <c r="K60" s="70"/>
      <c r="L60" s="63">
        <f t="shared" si="2"/>
        <v>40265.520000000004</v>
      </c>
    </row>
    <row r="61" spans="2:12" ht="25.5" customHeight="1" x14ac:dyDescent="0.2">
      <c r="B61" s="10">
        <v>43487</v>
      </c>
      <c r="C61" s="65" t="s">
        <v>76</v>
      </c>
      <c r="D61" s="349"/>
      <c r="E61" s="113" t="s">
        <v>86</v>
      </c>
      <c r="F61" s="13"/>
      <c r="G61" s="564" t="s">
        <v>77</v>
      </c>
      <c r="H61" s="564"/>
      <c r="I61" s="564"/>
      <c r="J61" s="12"/>
      <c r="K61" s="12">
        <f>1000-1000</f>
        <v>0</v>
      </c>
      <c r="L61" s="63">
        <f t="shared" si="2"/>
        <v>40265.520000000004</v>
      </c>
    </row>
    <row r="62" spans="2:12" ht="25.5" customHeight="1" x14ac:dyDescent="0.2">
      <c r="B62" s="10">
        <v>43503</v>
      </c>
      <c r="C62" s="77" t="s">
        <v>89</v>
      </c>
      <c r="D62" s="349"/>
      <c r="E62" s="77"/>
      <c r="F62" s="13"/>
      <c r="G62" s="565" t="s">
        <v>90</v>
      </c>
      <c r="H62" s="566"/>
      <c r="I62" s="566"/>
      <c r="J62" s="567"/>
      <c r="K62" s="12"/>
      <c r="L62" s="63">
        <f t="shared" si="2"/>
        <v>40265.520000000004</v>
      </c>
    </row>
    <row r="63" spans="2:12" ht="10.5" customHeight="1" x14ac:dyDescent="0.2">
      <c r="B63" s="10"/>
      <c r="C63" s="65"/>
      <c r="D63" s="349"/>
      <c r="E63" s="77"/>
      <c r="F63" s="13"/>
      <c r="G63" s="69"/>
      <c r="H63" s="568" t="s">
        <v>91</v>
      </c>
      <c r="I63" s="569"/>
      <c r="J63" s="570"/>
      <c r="K63" s="70">
        <v>1700</v>
      </c>
      <c r="L63" s="63">
        <f t="shared" si="2"/>
        <v>38565.520000000004</v>
      </c>
    </row>
    <row r="64" spans="2:12" x14ac:dyDescent="0.2">
      <c r="B64" s="10"/>
      <c r="C64" s="65"/>
      <c r="D64" s="349"/>
      <c r="E64" s="77"/>
      <c r="F64" s="13"/>
      <c r="G64" s="81"/>
      <c r="H64" s="558" t="s">
        <v>92</v>
      </c>
      <c r="I64" s="559"/>
      <c r="J64" s="560"/>
      <c r="K64" s="70">
        <v>950</v>
      </c>
      <c r="L64" s="63">
        <f t="shared" si="2"/>
        <v>37615.520000000004</v>
      </c>
    </row>
    <row r="65" spans="2:13" ht="12" customHeight="1" x14ac:dyDescent="0.2">
      <c r="B65" s="10"/>
      <c r="C65" s="65"/>
      <c r="D65" s="349"/>
      <c r="E65" s="77"/>
      <c r="F65" s="13"/>
      <c r="G65" s="81"/>
      <c r="H65" s="558" t="s">
        <v>93</v>
      </c>
      <c r="I65" s="559"/>
      <c r="J65" s="560"/>
      <c r="K65" s="70">
        <v>850</v>
      </c>
      <c r="L65" s="63">
        <f t="shared" si="2"/>
        <v>36765.520000000004</v>
      </c>
    </row>
    <row r="66" spans="2:13" ht="25.5" customHeight="1" x14ac:dyDescent="0.2">
      <c r="B66" s="10"/>
      <c r="C66" s="65"/>
      <c r="D66" s="349"/>
      <c r="E66" s="77"/>
      <c r="F66" s="13"/>
      <c r="G66" s="555" t="s">
        <v>586</v>
      </c>
      <c r="H66" s="556"/>
      <c r="I66" s="556"/>
      <c r="J66" s="557"/>
      <c r="K66" s="70"/>
      <c r="L66" s="63">
        <f t="shared" si="2"/>
        <v>36765.520000000004</v>
      </c>
    </row>
    <row r="67" spans="2:13" x14ac:dyDescent="0.2">
      <c r="B67" s="64"/>
      <c r="C67" s="65"/>
      <c r="D67" s="77"/>
      <c r="E67" s="3"/>
      <c r="F67" s="13"/>
      <c r="G67" s="558" t="s">
        <v>94</v>
      </c>
      <c r="H67" s="559"/>
      <c r="I67" s="560"/>
      <c r="J67" s="12"/>
      <c r="K67" s="12">
        <f>800-800</f>
        <v>0</v>
      </c>
      <c r="L67" s="63">
        <f t="shared" si="2"/>
        <v>36765.520000000004</v>
      </c>
    </row>
    <row r="68" spans="2:13" x14ac:dyDescent="0.2">
      <c r="B68" s="64"/>
      <c r="C68" s="65"/>
      <c r="D68" s="65"/>
      <c r="E68" s="13"/>
      <c r="F68" s="13"/>
      <c r="G68" s="81"/>
      <c r="H68" s="84"/>
      <c r="I68" s="12"/>
      <c r="J68" s="12"/>
      <c r="K68" s="12"/>
      <c r="L68" s="63">
        <f t="shared" si="2"/>
        <v>36765.520000000004</v>
      </c>
    </row>
    <row r="69" spans="2:13" ht="12.75" thickBot="1" x14ac:dyDescent="0.25">
      <c r="B69" s="64"/>
      <c r="C69" s="65"/>
      <c r="D69" s="65"/>
      <c r="E69" s="13"/>
      <c r="F69" s="13"/>
      <c r="G69" s="104"/>
      <c r="H69" s="84"/>
      <c r="I69" s="12"/>
      <c r="J69" s="12"/>
      <c r="K69" s="12"/>
      <c r="L69" s="63"/>
    </row>
    <row r="70" spans="2:13" x14ac:dyDescent="0.2">
      <c r="B70" s="56"/>
      <c r="C70" s="57"/>
      <c r="D70" s="57"/>
      <c r="E70" s="5"/>
      <c r="F70" s="5"/>
      <c r="G70" s="85" t="s">
        <v>0</v>
      </c>
      <c r="H70" s="107">
        <f>SUM(H7:H54)</f>
        <v>59214</v>
      </c>
      <c r="I70" s="105">
        <f>SUM(I7:I54)</f>
        <v>18948.48</v>
      </c>
      <c r="J70" s="106">
        <f>SUM(J7:J54)</f>
        <v>40265.520000000004</v>
      </c>
      <c r="K70" s="106">
        <f>SUM(K61:K67)</f>
        <v>3500</v>
      </c>
      <c r="L70" s="108"/>
    </row>
    <row r="71" spans="2:13" ht="12.75" thickBot="1" x14ac:dyDescent="0.25">
      <c r="B71" s="71"/>
      <c r="C71" s="72"/>
      <c r="D71" s="72"/>
      <c r="E71" s="73"/>
      <c r="F71" s="73"/>
      <c r="G71" s="86" t="s">
        <v>13</v>
      </c>
      <c r="H71" s="100"/>
      <c r="I71" s="99"/>
      <c r="J71" s="87"/>
      <c r="K71" s="87"/>
      <c r="L71" s="88">
        <f>+J70-K70+L6</f>
        <v>36765.520000000004</v>
      </c>
    </row>
    <row r="72" spans="2:13" x14ac:dyDescent="0.2">
      <c r="H72" s="74"/>
      <c r="I72" s="25"/>
    </row>
    <row r="73" spans="2:13" x14ac:dyDescent="0.2">
      <c r="B73" s="544" t="s">
        <v>48</v>
      </c>
      <c r="C73" s="545"/>
      <c r="D73" s="545"/>
      <c r="E73" s="545"/>
      <c r="F73" s="545"/>
      <c r="G73" s="545"/>
      <c r="H73" s="545"/>
      <c r="I73" s="545"/>
      <c r="J73" s="545"/>
      <c r="K73" s="545"/>
      <c r="L73" s="546"/>
      <c r="M73" s="25"/>
    </row>
    <row r="74" spans="2:13" x14ac:dyDescent="0.2">
      <c r="B74" s="547" t="s">
        <v>87</v>
      </c>
      <c r="C74" s="548"/>
      <c r="D74" s="548"/>
      <c r="E74" s="548"/>
      <c r="F74" s="548"/>
      <c r="G74" s="548"/>
      <c r="H74" s="548"/>
      <c r="I74" s="548"/>
      <c r="J74" s="548"/>
      <c r="K74" s="548"/>
      <c r="L74" s="549"/>
      <c r="M74" s="25"/>
    </row>
    <row r="75" spans="2:13" x14ac:dyDescent="0.2">
      <c r="B75" s="550" t="s">
        <v>50</v>
      </c>
      <c r="C75" s="550"/>
      <c r="D75" s="551" t="s">
        <v>51</v>
      </c>
      <c r="E75" s="551"/>
      <c r="F75" s="551"/>
      <c r="G75" s="400"/>
      <c r="H75" s="400"/>
      <c r="I75" s="400"/>
      <c r="J75" s="400"/>
      <c r="K75" s="400"/>
      <c r="L75" s="401"/>
      <c r="M75" s="25"/>
    </row>
    <row r="76" spans="2:13" ht="24" x14ac:dyDescent="0.2">
      <c r="B76" s="56" t="s">
        <v>1</v>
      </c>
      <c r="C76" s="57" t="s">
        <v>2</v>
      </c>
      <c r="D76" s="57" t="s">
        <v>2</v>
      </c>
      <c r="E76" s="5" t="s">
        <v>3</v>
      </c>
      <c r="F76" s="5" t="s">
        <v>4</v>
      </c>
      <c r="G76" s="89" t="s">
        <v>6</v>
      </c>
      <c r="H76" s="83" t="s">
        <v>7</v>
      </c>
      <c r="I76" s="83" t="s">
        <v>52</v>
      </c>
      <c r="J76" s="83" t="s">
        <v>53</v>
      </c>
      <c r="K76" s="5" t="s">
        <v>10</v>
      </c>
      <c r="L76" s="5" t="s">
        <v>11</v>
      </c>
    </row>
    <row r="77" spans="2:13" ht="12" customHeight="1" x14ac:dyDescent="0.2">
      <c r="B77" s="58"/>
      <c r="C77" s="59"/>
      <c r="D77" s="59"/>
      <c r="E77" s="13"/>
      <c r="F77" s="13"/>
      <c r="G77" s="24"/>
      <c r="H77" s="60"/>
      <c r="I77" s="61"/>
      <c r="J77" s="61"/>
      <c r="K77" s="61"/>
      <c r="L77" s="60">
        <f>L71</f>
        <v>36765.520000000004</v>
      </c>
    </row>
    <row r="78" spans="2:13" x14ac:dyDescent="0.2">
      <c r="B78" s="110">
        <v>43497</v>
      </c>
      <c r="C78" s="111" t="s">
        <v>116</v>
      </c>
      <c r="D78" s="11"/>
      <c r="E78" s="15" t="s">
        <v>535</v>
      </c>
      <c r="F78" s="13"/>
      <c r="G78" s="15"/>
      <c r="H78" s="112">
        <v>1414</v>
      </c>
      <c r="I78" s="12">
        <f>H78*0.32</f>
        <v>452.48</v>
      </c>
      <c r="J78" s="12">
        <f>H78*0.68</f>
        <v>961.5200000000001</v>
      </c>
      <c r="K78" s="12"/>
      <c r="L78" s="63">
        <f>+J78-K78+L77</f>
        <v>37727.040000000001</v>
      </c>
    </row>
    <row r="79" spans="2:13" ht="21" customHeight="1" x14ac:dyDescent="0.2">
      <c r="B79" s="110">
        <v>43498</v>
      </c>
      <c r="C79" s="111" t="s">
        <v>116</v>
      </c>
      <c r="D79" s="11"/>
      <c r="E79" s="15" t="s">
        <v>535</v>
      </c>
      <c r="F79" s="13"/>
      <c r="G79" s="15"/>
      <c r="H79" s="112">
        <v>144</v>
      </c>
      <c r="I79" s="12">
        <f t="shared" ref="I79:I115" si="3">H79*0.32</f>
        <v>46.08</v>
      </c>
      <c r="J79" s="12">
        <f t="shared" ref="J79:J115" si="4">H79*0.68</f>
        <v>97.92</v>
      </c>
      <c r="K79" s="12"/>
      <c r="L79" s="63">
        <f>+J79-K79+L78</f>
        <v>37824.959999999999</v>
      </c>
    </row>
    <row r="80" spans="2:13" x14ac:dyDescent="0.2">
      <c r="B80" s="110">
        <v>43500</v>
      </c>
      <c r="C80" s="111" t="s">
        <v>116</v>
      </c>
      <c r="D80" s="11"/>
      <c r="E80" s="15" t="s">
        <v>535</v>
      </c>
      <c r="F80" s="13"/>
      <c r="G80" s="15"/>
      <c r="H80" s="112">
        <f>8-8</f>
        <v>0</v>
      </c>
      <c r="I80" s="12">
        <f t="shared" si="3"/>
        <v>0</v>
      </c>
      <c r="J80" s="12">
        <f t="shared" si="4"/>
        <v>0</v>
      </c>
      <c r="K80" s="12"/>
      <c r="L80" s="63">
        <f t="shared" ref="L80:L133" si="5">+J80-K80+L79</f>
        <v>37824.959999999999</v>
      </c>
    </row>
    <row r="81" spans="2:13" x14ac:dyDescent="0.2">
      <c r="B81" s="110">
        <v>43501</v>
      </c>
      <c r="C81" s="111" t="s">
        <v>116</v>
      </c>
      <c r="D81" s="77"/>
      <c r="E81" s="15" t="s">
        <v>535</v>
      </c>
      <c r="F81" s="13"/>
      <c r="G81" s="66"/>
      <c r="H81" s="112">
        <v>144</v>
      </c>
      <c r="I81" s="12">
        <f t="shared" si="3"/>
        <v>46.08</v>
      </c>
      <c r="J81" s="12">
        <f t="shared" si="4"/>
        <v>97.92</v>
      </c>
      <c r="K81" s="12"/>
      <c r="L81" s="63">
        <f>+J81-K81+L80</f>
        <v>37922.879999999997</v>
      </c>
    </row>
    <row r="82" spans="2:13" x14ac:dyDescent="0.2">
      <c r="B82" s="110">
        <v>43502</v>
      </c>
      <c r="C82" s="111" t="s">
        <v>116</v>
      </c>
      <c r="D82" s="11"/>
      <c r="E82" s="15" t="s">
        <v>535</v>
      </c>
      <c r="F82" s="67"/>
      <c r="G82" s="15"/>
      <c r="H82" s="112">
        <f>686-70</f>
        <v>616</v>
      </c>
      <c r="I82" s="12">
        <f t="shared" si="3"/>
        <v>197.12</v>
      </c>
      <c r="J82" s="12">
        <f t="shared" si="4"/>
        <v>418.88000000000005</v>
      </c>
      <c r="K82" s="12"/>
      <c r="L82" s="63">
        <f t="shared" si="5"/>
        <v>38341.759999999995</v>
      </c>
    </row>
    <row r="83" spans="2:13" x14ac:dyDescent="0.2">
      <c r="B83" s="110">
        <v>43503</v>
      </c>
      <c r="C83" s="111" t="s">
        <v>116</v>
      </c>
      <c r="D83" s="11"/>
      <c r="E83" s="15" t="s">
        <v>535</v>
      </c>
      <c r="F83" s="67"/>
      <c r="G83" s="15"/>
      <c r="H83" s="112">
        <v>394</v>
      </c>
      <c r="I83" s="12">
        <f t="shared" si="3"/>
        <v>126.08</v>
      </c>
      <c r="J83" s="12">
        <f t="shared" si="4"/>
        <v>267.92</v>
      </c>
      <c r="K83" s="12"/>
      <c r="L83" s="63">
        <f t="shared" si="5"/>
        <v>38609.679999999993</v>
      </c>
    </row>
    <row r="84" spans="2:13" x14ac:dyDescent="0.2">
      <c r="B84" s="110">
        <v>43508</v>
      </c>
      <c r="C84" s="111" t="s">
        <v>116</v>
      </c>
      <c r="D84" s="11"/>
      <c r="E84" s="15" t="s">
        <v>535</v>
      </c>
      <c r="F84" s="67"/>
      <c r="G84" s="15"/>
      <c r="H84" s="112">
        <v>144</v>
      </c>
      <c r="I84" s="12">
        <f t="shared" si="3"/>
        <v>46.08</v>
      </c>
      <c r="J84" s="12">
        <f t="shared" si="4"/>
        <v>97.92</v>
      </c>
      <c r="K84" s="12"/>
      <c r="L84" s="63">
        <f t="shared" si="5"/>
        <v>38707.599999999991</v>
      </c>
    </row>
    <row r="85" spans="2:13" x14ac:dyDescent="0.2">
      <c r="B85" s="110">
        <v>43509</v>
      </c>
      <c r="C85" s="111" t="s">
        <v>116</v>
      </c>
      <c r="D85" s="11"/>
      <c r="E85" s="15" t="s">
        <v>535</v>
      </c>
      <c r="F85" s="67"/>
      <c r="G85" s="15"/>
      <c r="H85" s="112">
        <v>452</v>
      </c>
      <c r="I85" s="12">
        <f t="shared" si="3"/>
        <v>144.64000000000001</v>
      </c>
      <c r="J85" s="12">
        <f t="shared" si="4"/>
        <v>307.36</v>
      </c>
      <c r="K85" s="12"/>
      <c r="L85" s="63">
        <f t="shared" si="5"/>
        <v>39014.959999999992</v>
      </c>
    </row>
    <row r="86" spans="2:13" x14ac:dyDescent="0.2">
      <c r="B86" s="110">
        <v>43510</v>
      </c>
      <c r="C86" s="111" t="s">
        <v>116</v>
      </c>
      <c r="D86" s="11"/>
      <c r="E86" s="15" t="s">
        <v>535</v>
      </c>
      <c r="F86" s="67"/>
      <c r="G86" s="15"/>
      <c r="H86" s="112">
        <v>414</v>
      </c>
      <c r="I86" s="12">
        <f t="shared" si="3"/>
        <v>132.47999999999999</v>
      </c>
      <c r="J86" s="12">
        <f t="shared" si="4"/>
        <v>281.52000000000004</v>
      </c>
      <c r="K86" s="12"/>
      <c r="L86" s="63">
        <f t="shared" si="5"/>
        <v>39296.479999999989</v>
      </c>
    </row>
    <row r="87" spans="2:13" x14ac:dyDescent="0.2">
      <c r="B87" s="110">
        <v>43512</v>
      </c>
      <c r="C87" s="111" t="s">
        <v>116</v>
      </c>
      <c r="D87" s="11"/>
      <c r="E87" s="15" t="s">
        <v>535</v>
      </c>
      <c r="F87" s="67"/>
      <c r="G87" s="15"/>
      <c r="H87" s="112">
        <v>270</v>
      </c>
      <c r="I87" s="12">
        <f t="shared" si="3"/>
        <v>86.4</v>
      </c>
      <c r="J87" s="12">
        <f t="shared" si="4"/>
        <v>183.60000000000002</v>
      </c>
      <c r="K87" s="12"/>
      <c r="L87" s="63">
        <f t="shared" si="5"/>
        <v>39480.079999999987</v>
      </c>
    </row>
    <row r="88" spans="2:13" x14ac:dyDescent="0.2">
      <c r="B88" s="110">
        <v>43514</v>
      </c>
      <c r="C88" s="111" t="s">
        <v>536</v>
      </c>
      <c r="D88" s="11"/>
      <c r="E88" s="15" t="s">
        <v>537</v>
      </c>
      <c r="F88" s="67"/>
      <c r="G88" s="15"/>
      <c r="H88" s="112">
        <f>358-70</f>
        <v>288</v>
      </c>
      <c r="I88" s="12">
        <f t="shared" si="3"/>
        <v>92.16</v>
      </c>
      <c r="J88" s="12">
        <f t="shared" si="4"/>
        <v>195.84</v>
      </c>
      <c r="K88" s="12"/>
      <c r="L88" s="63">
        <f t="shared" si="5"/>
        <v>39675.919999999984</v>
      </c>
    </row>
    <row r="89" spans="2:13" x14ac:dyDescent="0.2">
      <c r="B89" s="110">
        <v>43515</v>
      </c>
      <c r="C89" s="111" t="s">
        <v>536</v>
      </c>
      <c r="D89" s="11"/>
      <c r="E89" s="15" t="s">
        <v>537</v>
      </c>
      <c r="F89" s="67"/>
      <c r="G89" s="15"/>
      <c r="H89" s="112">
        <v>144</v>
      </c>
      <c r="I89" s="12">
        <f t="shared" si="3"/>
        <v>46.08</v>
      </c>
      <c r="J89" s="12">
        <f t="shared" si="4"/>
        <v>97.92</v>
      </c>
      <c r="K89" s="12"/>
      <c r="L89" s="63">
        <f t="shared" si="5"/>
        <v>39773.839999999982</v>
      </c>
    </row>
    <row r="90" spans="2:13" x14ac:dyDescent="0.2">
      <c r="B90" s="110">
        <v>43516</v>
      </c>
      <c r="C90" s="111" t="s">
        <v>536</v>
      </c>
      <c r="D90" s="11"/>
      <c r="E90" s="15" t="s">
        <v>537</v>
      </c>
      <c r="F90" s="67"/>
      <c r="G90" s="15"/>
      <c r="H90" s="112">
        <v>20</v>
      </c>
      <c r="I90" s="12">
        <f t="shared" si="3"/>
        <v>6.4</v>
      </c>
      <c r="J90" s="12">
        <f t="shared" si="4"/>
        <v>13.600000000000001</v>
      </c>
      <c r="K90" s="12"/>
      <c r="L90" s="63">
        <f t="shared" si="5"/>
        <v>39787.439999999981</v>
      </c>
    </row>
    <row r="91" spans="2:13" x14ac:dyDescent="0.2">
      <c r="B91" s="110">
        <v>43517</v>
      </c>
      <c r="C91" s="111" t="s">
        <v>536</v>
      </c>
      <c r="D91" s="11"/>
      <c r="E91" s="15" t="s">
        <v>537</v>
      </c>
      <c r="F91" s="67"/>
      <c r="G91" s="15"/>
      <c r="H91" s="112">
        <v>472</v>
      </c>
      <c r="I91" s="12">
        <f t="shared" si="3"/>
        <v>151.04</v>
      </c>
      <c r="J91" s="12">
        <f t="shared" si="4"/>
        <v>320.96000000000004</v>
      </c>
      <c r="K91" s="12"/>
      <c r="L91" s="63">
        <f t="shared" si="5"/>
        <v>40108.39999999998</v>
      </c>
    </row>
    <row r="92" spans="2:13" x14ac:dyDescent="0.2">
      <c r="B92" s="110">
        <v>43518</v>
      </c>
      <c r="C92" s="111" t="s">
        <v>536</v>
      </c>
      <c r="D92" s="77"/>
      <c r="E92" s="15" t="s">
        <v>537</v>
      </c>
      <c r="F92" s="13"/>
      <c r="G92" s="66"/>
      <c r="H92" s="112">
        <v>498</v>
      </c>
      <c r="I92" s="12">
        <f t="shared" si="3"/>
        <v>159.36000000000001</v>
      </c>
      <c r="J92" s="12">
        <f t="shared" si="4"/>
        <v>338.64000000000004</v>
      </c>
      <c r="K92" s="12"/>
      <c r="L92" s="63">
        <f t="shared" si="5"/>
        <v>40447.039999999979</v>
      </c>
    </row>
    <row r="93" spans="2:13" x14ac:dyDescent="0.2">
      <c r="B93" s="110">
        <v>43521</v>
      </c>
      <c r="C93" s="111" t="s">
        <v>536</v>
      </c>
      <c r="D93" s="11"/>
      <c r="E93" s="15" t="s">
        <v>537</v>
      </c>
      <c r="F93" s="13"/>
      <c r="G93" s="15"/>
      <c r="H93" s="112">
        <v>60</v>
      </c>
      <c r="I93" s="12">
        <f t="shared" si="3"/>
        <v>19.2</v>
      </c>
      <c r="J93" s="12">
        <f t="shared" si="4"/>
        <v>40.800000000000004</v>
      </c>
      <c r="K93" s="12"/>
      <c r="L93" s="63">
        <f t="shared" si="5"/>
        <v>40487.839999999982</v>
      </c>
    </row>
    <row r="94" spans="2:13" x14ac:dyDescent="0.2">
      <c r="B94" s="110">
        <v>43522</v>
      </c>
      <c r="C94" s="111" t="s">
        <v>536</v>
      </c>
      <c r="D94" s="11"/>
      <c r="E94" s="15" t="s">
        <v>537</v>
      </c>
      <c r="F94" s="13"/>
      <c r="G94" s="112"/>
      <c r="H94" s="112">
        <f>1028-288</f>
        <v>740</v>
      </c>
      <c r="I94" s="12">
        <f t="shared" si="3"/>
        <v>236.8</v>
      </c>
      <c r="J94" s="12">
        <f t="shared" si="4"/>
        <v>503.20000000000005</v>
      </c>
      <c r="K94" s="12"/>
      <c r="L94" s="63">
        <f t="shared" si="5"/>
        <v>40991.039999999979</v>
      </c>
      <c r="M94" s="25"/>
    </row>
    <row r="95" spans="2:13" x14ac:dyDescent="0.2">
      <c r="B95" s="110">
        <v>43523</v>
      </c>
      <c r="C95" s="111" t="s">
        <v>536</v>
      </c>
      <c r="D95" s="11"/>
      <c r="E95" s="15" t="s">
        <v>537</v>
      </c>
      <c r="F95" s="13"/>
      <c r="G95" s="15"/>
      <c r="H95" s="112">
        <v>458</v>
      </c>
      <c r="I95" s="12">
        <f t="shared" si="3"/>
        <v>146.56</v>
      </c>
      <c r="J95" s="12">
        <f t="shared" si="4"/>
        <v>311.44</v>
      </c>
      <c r="K95" s="12"/>
      <c r="L95" s="63">
        <f t="shared" si="5"/>
        <v>41302.479999999981</v>
      </c>
      <c r="M95" s="25"/>
    </row>
    <row r="96" spans="2:13" x14ac:dyDescent="0.2">
      <c r="B96" s="110">
        <v>43524</v>
      </c>
      <c r="C96" s="111" t="s">
        <v>536</v>
      </c>
      <c r="D96" s="11"/>
      <c r="E96" s="15" t="s">
        <v>537</v>
      </c>
      <c r="F96" s="13"/>
      <c r="G96" s="15"/>
      <c r="H96" s="112">
        <v>288</v>
      </c>
      <c r="I96" s="12">
        <f t="shared" si="3"/>
        <v>92.16</v>
      </c>
      <c r="J96" s="12">
        <f t="shared" si="4"/>
        <v>195.84</v>
      </c>
      <c r="K96" s="12"/>
      <c r="L96" s="63">
        <f t="shared" si="5"/>
        <v>41498.319999999978</v>
      </c>
      <c r="M96" s="25"/>
    </row>
    <row r="97" spans="2:13" x14ac:dyDescent="0.2">
      <c r="B97" s="110">
        <v>43497</v>
      </c>
      <c r="C97" s="111"/>
      <c r="D97" s="11"/>
      <c r="E97" s="15" t="s">
        <v>571</v>
      </c>
      <c r="F97" s="13"/>
      <c r="G97" s="15"/>
      <c r="H97" s="112">
        <v>448</v>
      </c>
      <c r="I97" s="12">
        <f t="shared" si="3"/>
        <v>143.36000000000001</v>
      </c>
      <c r="J97" s="12">
        <f t="shared" si="4"/>
        <v>304.64000000000004</v>
      </c>
      <c r="K97" s="12"/>
      <c r="L97" s="63">
        <f t="shared" si="5"/>
        <v>41802.959999999977</v>
      </c>
      <c r="M97" s="25"/>
    </row>
    <row r="98" spans="2:13" x14ac:dyDescent="0.2">
      <c r="B98" s="110">
        <v>43501</v>
      </c>
      <c r="C98" s="111"/>
      <c r="D98" s="11"/>
      <c r="E98" s="15" t="s">
        <v>571</v>
      </c>
      <c r="F98" s="13"/>
      <c r="G98" s="15"/>
      <c r="H98" s="112">
        <v>866</v>
      </c>
      <c r="I98" s="12">
        <f t="shared" si="3"/>
        <v>277.12</v>
      </c>
      <c r="J98" s="12">
        <f t="shared" si="4"/>
        <v>588.88</v>
      </c>
      <c r="K98" s="12"/>
      <c r="L98" s="63">
        <f t="shared" si="5"/>
        <v>42391.839999999975</v>
      </c>
      <c r="M98" s="25"/>
    </row>
    <row r="99" spans="2:13" x14ac:dyDescent="0.2">
      <c r="B99" s="110">
        <v>43502</v>
      </c>
      <c r="C99" s="111"/>
      <c r="D99" s="11"/>
      <c r="E99" s="15" t="s">
        <v>571</v>
      </c>
      <c r="F99" s="13"/>
      <c r="G99" s="15"/>
      <c r="H99" s="112">
        <v>716</v>
      </c>
      <c r="I99" s="12">
        <f t="shared" si="3"/>
        <v>229.12</v>
      </c>
      <c r="J99" s="12">
        <f t="shared" si="4"/>
        <v>486.88000000000005</v>
      </c>
      <c r="K99" s="12"/>
      <c r="L99" s="63">
        <f t="shared" si="5"/>
        <v>42878.719999999972</v>
      </c>
      <c r="M99" s="25"/>
    </row>
    <row r="100" spans="2:13" x14ac:dyDescent="0.2">
      <c r="B100" s="110">
        <v>43504</v>
      </c>
      <c r="C100" s="111"/>
      <c r="D100" s="11"/>
      <c r="E100" s="15" t="s">
        <v>571</v>
      </c>
      <c r="F100" s="13"/>
      <c r="G100" s="15"/>
      <c r="H100" s="112">
        <v>208</v>
      </c>
      <c r="I100" s="12">
        <f t="shared" si="3"/>
        <v>66.56</v>
      </c>
      <c r="J100" s="12">
        <f t="shared" si="4"/>
        <v>141.44</v>
      </c>
      <c r="K100" s="12"/>
      <c r="L100" s="63">
        <f t="shared" si="5"/>
        <v>43020.159999999974</v>
      </c>
      <c r="M100" s="25"/>
    </row>
    <row r="101" spans="2:13" x14ac:dyDescent="0.2">
      <c r="B101" s="110">
        <v>43507</v>
      </c>
      <c r="C101" s="111"/>
      <c r="D101" s="11"/>
      <c r="E101" s="15" t="s">
        <v>571</v>
      </c>
      <c r="F101" s="13"/>
      <c r="G101" s="15"/>
      <c r="H101" s="112">
        <v>288</v>
      </c>
      <c r="I101" s="12">
        <f t="shared" si="3"/>
        <v>92.16</v>
      </c>
      <c r="J101" s="12">
        <f t="shared" si="4"/>
        <v>195.84</v>
      </c>
      <c r="K101" s="12"/>
      <c r="L101" s="63">
        <f t="shared" si="5"/>
        <v>43215.999999999971</v>
      </c>
      <c r="M101" s="25"/>
    </row>
    <row r="102" spans="2:13" x14ac:dyDescent="0.2">
      <c r="B102" s="110">
        <v>43508</v>
      </c>
      <c r="C102" s="111"/>
      <c r="D102" s="11"/>
      <c r="E102" s="15"/>
      <c r="F102" s="13"/>
      <c r="G102" s="15"/>
      <c r="H102" s="112">
        <v>424</v>
      </c>
      <c r="I102" s="12">
        <f t="shared" si="3"/>
        <v>135.68</v>
      </c>
      <c r="J102" s="12">
        <f t="shared" si="4"/>
        <v>288.32</v>
      </c>
      <c r="K102" s="12"/>
      <c r="L102" s="63">
        <f t="shared" si="5"/>
        <v>43504.319999999971</v>
      </c>
      <c r="M102" s="25"/>
    </row>
    <row r="103" spans="2:13" x14ac:dyDescent="0.2">
      <c r="B103" s="110">
        <v>43510</v>
      </c>
      <c r="C103" s="111"/>
      <c r="D103" s="11"/>
      <c r="E103" s="15"/>
      <c r="F103" s="13"/>
      <c r="G103" s="15"/>
      <c r="H103" s="112">
        <v>740</v>
      </c>
      <c r="I103" s="12">
        <f t="shared" si="3"/>
        <v>236.8</v>
      </c>
      <c r="J103" s="12">
        <f t="shared" si="4"/>
        <v>503.20000000000005</v>
      </c>
      <c r="K103" s="12"/>
      <c r="L103" s="63">
        <f t="shared" si="5"/>
        <v>44007.519999999968</v>
      </c>
      <c r="M103" s="25"/>
    </row>
    <row r="104" spans="2:13" x14ac:dyDescent="0.2">
      <c r="B104" s="110">
        <v>43511</v>
      </c>
      <c r="C104" s="111"/>
      <c r="D104" s="11"/>
      <c r="E104" s="15"/>
      <c r="F104" s="13"/>
      <c r="G104" s="15"/>
      <c r="H104" s="112">
        <f>288+144</f>
        <v>432</v>
      </c>
      <c r="I104" s="12">
        <f t="shared" si="3"/>
        <v>138.24</v>
      </c>
      <c r="J104" s="12">
        <f t="shared" si="4"/>
        <v>293.76000000000005</v>
      </c>
      <c r="K104" s="12"/>
      <c r="L104" s="63">
        <f t="shared" si="5"/>
        <v>44301.27999999997</v>
      </c>
      <c r="M104" s="25"/>
    </row>
    <row r="105" spans="2:13" x14ac:dyDescent="0.2">
      <c r="B105" s="110">
        <v>43514</v>
      </c>
      <c r="C105" s="111"/>
      <c r="D105" s="11"/>
      <c r="E105" s="15"/>
      <c r="F105" s="13"/>
      <c r="G105" s="15"/>
      <c r="H105" s="112">
        <v>462</v>
      </c>
      <c r="I105" s="12">
        <f t="shared" si="3"/>
        <v>147.84</v>
      </c>
      <c r="J105" s="12">
        <f t="shared" si="4"/>
        <v>314.16000000000003</v>
      </c>
      <c r="K105" s="12"/>
      <c r="L105" s="63">
        <f t="shared" si="5"/>
        <v>44615.439999999973</v>
      </c>
      <c r="M105" s="25"/>
    </row>
    <row r="106" spans="2:13" x14ac:dyDescent="0.2">
      <c r="B106" s="110">
        <v>43515</v>
      </c>
      <c r="C106" s="111"/>
      <c r="D106" s="11"/>
      <c r="E106" s="15"/>
      <c r="F106" s="13"/>
      <c r="G106" s="15"/>
      <c r="H106" s="112">
        <v>144</v>
      </c>
      <c r="I106" s="12">
        <f t="shared" si="3"/>
        <v>46.08</v>
      </c>
      <c r="J106" s="12">
        <f t="shared" si="4"/>
        <v>97.92</v>
      </c>
      <c r="K106" s="12"/>
      <c r="L106" s="63">
        <f t="shared" si="5"/>
        <v>44713.359999999971</v>
      </c>
      <c r="M106" s="25"/>
    </row>
    <row r="107" spans="2:13" x14ac:dyDescent="0.2">
      <c r="B107" s="110">
        <v>43516</v>
      </c>
      <c r="C107" s="111"/>
      <c r="D107" s="11"/>
      <c r="E107" s="15"/>
      <c r="F107" s="13"/>
      <c r="G107" s="15"/>
      <c r="H107" s="112">
        <v>740</v>
      </c>
      <c r="I107" s="12">
        <f t="shared" si="3"/>
        <v>236.8</v>
      </c>
      <c r="J107" s="12">
        <f t="shared" si="4"/>
        <v>503.20000000000005</v>
      </c>
      <c r="K107" s="12"/>
      <c r="L107" s="63">
        <f t="shared" si="5"/>
        <v>45216.559999999969</v>
      </c>
      <c r="M107" s="25"/>
    </row>
    <row r="108" spans="2:13" x14ac:dyDescent="0.2">
      <c r="B108" s="110">
        <v>43517</v>
      </c>
      <c r="C108" s="11"/>
      <c r="D108" s="11"/>
      <c r="E108" s="13"/>
      <c r="F108" s="13"/>
      <c r="G108" s="15"/>
      <c r="H108" s="62">
        <v>258</v>
      </c>
      <c r="I108" s="12">
        <f t="shared" si="3"/>
        <v>82.56</v>
      </c>
      <c r="J108" s="12">
        <f t="shared" si="4"/>
        <v>175.44000000000003</v>
      </c>
      <c r="K108" s="12"/>
      <c r="L108" s="63">
        <f t="shared" si="5"/>
        <v>45391.999999999971</v>
      </c>
      <c r="M108" s="25"/>
    </row>
    <row r="109" spans="2:13" x14ac:dyDescent="0.2">
      <c r="B109" s="110">
        <v>43518</v>
      </c>
      <c r="C109" s="11"/>
      <c r="D109" s="11"/>
      <c r="E109" s="13"/>
      <c r="F109" s="13"/>
      <c r="G109" s="15"/>
      <c r="H109" s="62">
        <v>596</v>
      </c>
      <c r="I109" s="12">
        <f t="shared" si="3"/>
        <v>190.72</v>
      </c>
      <c r="J109" s="12">
        <f t="shared" si="4"/>
        <v>405.28000000000003</v>
      </c>
      <c r="K109" s="12"/>
      <c r="L109" s="63">
        <f t="shared" si="5"/>
        <v>45797.27999999997</v>
      </c>
      <c r="M109" s="25"/>
    </row>
    <row r="110" spans="2:13" x14ac:dyDescent="0.2">
      <c r="B110" s="110">
        <v>43519</v>
      </c>
      <c r="C110" s="11"/>
      <c r="D110" s="11"/>
      <c r="E110" s="13"/>
      <c r="F110" s="13"/>
      <c r="G110" s="15"/>
      <c r="H110" s="62">
        <v>144</v>
      </c>
      <c r="I110" s="12">
        <f t="shared" si="3"/>
        <v>46.08</v>
      </c>
      <c r="J110" s="12">
        <f t="shared" si="4"/>
        <v>97.92</v>
      </c>
      <c r="K110" s="12"/>
      <c r="L110" s="63">
        <f t="shared" si="5"/>
        <v>45895.199999999968</v>
      </c>
      <c r="M110" s="25"/>
    </row>
    <row r="111" spans="2:13" x14ac:dyDescent="0.2">
      <c r="B111" s="110">
        <v>43521</v>
      </c>
      <c r="C111" s="11"/>
      <c r="D111" s="11"/>
      <c r="E111" s="13"/>
      <c r="F111" s="13"/>
      <c r="G111" s="15"/>
      <c r="H111" s="62">
        <v>452</v>
      </c>
      <c r="I111" s="12">
        <f t="shared" si="3"/>
        <v>144.64000000000001</v>
      </c>
      <c r="J111" s="12">
        <f t="shared" si="4"/>
        <v>307.36</v>
      </c>
      <c r="K111" s="12"/>
      <c r="L111" s="63">
        <f t="shared" si="5"/>
        <v>46202.559999999969</v>
      </c>
      <c r="M111" s="25"/>
    </row>
    <row r="112" spans="2:13" x14ac:dyDescent="0.2">
      <c r="B112" s="110">
        <v>43522</v>
      </c>
      <c r="C112" s="11"/>
      <c r="D112" s="11"/>
      <c r="E112" s="13"/>
      <c r="F112" s="13"/>
      <c r="G112" s="15"/>
      <c r="H112" s="62">
        <f>580+144</f>
        <v>724</v>
      </c>
      <c r="I112" s="12">
        <f t="shared" si="3"/>
        <v>231.68</v>
      </c>
      <c r="J112" s="12">
        <f t="shared" si="4"/>
        <v>492.32000000000005</v>
      </c>
      <c r="K112" s="12"/>
      <c r="L112" s="63">
        <f t="shared" si="5"/>
        <v>46694.879999999968</v>
      </c>
      <c r="M112" s="25"/>
    </row>
    <row r="113" spans="2:13" x14ac:dyDescent="0.2">
      <c r="B113" s="110">
        <v>43523</v>
      </c>
      <c r="C113" s="11"/>
      <c r="D113" s="11"/>
      <c r="E113" s="13"/>
      <c r="F113" s="13"/>
      <c r="G113" s="15"/>
      <c r="H113" s="62">
        <v>476</v>
      </c>
      <c r="I113" s="12">
        <f t="shared" si="3"/>
        <v>152.32</v>
      </c>
      <c r="J113" s="12">
        <f t="shared" si="4"/>
        <v>323.68</v>
      </c>
      <c r="K113" s="12"/>
      <c r="L113" s="63">
        <f t="shared" si="5"/>
        <v>47018.559999999969</v>
      </c>
      <c r="M113" s="25"/>
    </row>
    <row r="114" spans="2:13" x14ac:dyDescent="0.2">
      <c r="B114" s="110">
        <v>43524</v>
      </c>
      <c r="C114" s="11"/>
      <c r="D114" s="11"/>
      <c r="E114" s="13"/>
      <c r="F114" s="13"/>
      <c r="G114" s="15"/>
      <c r="H114" s="62">
        <v>1002</v>
      </c>
      <c r="I114" s="12">
        <f t="shared" si="3"/>
        <v>320.64</v>
      </c>
      <c r="J114" s="12">
        <f t="shared" si="4"/>
        <v>681.36</v>
      </c>
      <c r="K114" s="12"/>
      <c r="L114" s="63">
        <f t="shared" si="5"/>
        <v>47699.919999999969</v>
      </c>
      <c r="M114" s="25"/>
    </row>
    <row r="115" spans="2:13" x14ac:dyDescent="0.2">
      <c r="B115" s="110">
        <v>43509</v>
      </c>
      <c r="C115" s="77"/>
      <c r="D115" s="77"/>
      <c r="E115" s="13"/>
      <c r="F115" s="13"/>
      <c r="G115" s="15"/>
      <c r="H115" s="62">
        <v>80</v>
      </c>
      <c r="I115" s="12">
        <f t="shared" si="3"/>
        <v>25.6</v>
      </c>
      <c r="J115" s="12">
        <f t="shared" si="4"/>
        <v>54.400000000000006</v>
      </c>
      <c r="K115" s="12"/>
      <c r="L115" s="63">
        <f t="shared" si="5"/>
        <v>47754.319999999971</v>
      </c>
      <c r="M115" s="25"/>
    </row>
    <row r="116" spans="2:13" x14ac:dyDescent="0.2">
      <c r="B116" s="64"/>
      <c r="C116" s="65"/>
      <c r="D116" s="65"/>
      <c r="E116" s="13"/>
      <c r="F116" s="13"/>
      <c r="G116" s="66"/>
      <c r="H116" s="62"/>
      <c r="I116" s="12"/>
      <c r="J116" s="12"/>
      <c r="K116" s="12"/>
      <c r="L116" s="63">
        <f t="shared" si="5"/>
        <v>47754.319999999971</v>
      </c>
      <c r="M116" s="25"/>
    </row>
    <row r="117" spans="2:13" x14ac:dyDescent="0.2">
      <c r="B117" s="547" t="s">
        <v>88</v>
      </c>
      <c r="C117" s="548"/>
      <c r="D117" s="548"/>
      <c r="E117" s="548"/>
      <c r="F117" s="548"/>
      <c r="G117" s="548"/>
      <c r="H117" s="548"/>
      <c r="I117" s="548"/>
      <c r="J117" s="548"/>
      <c r="K117" s="548"/>
      <c r="L117" s="63">
        <f t="shared" si="5"/>
        <v>47754.319999999971</v>
      </c>
      <c r="M117" s="25"/>
    </row>
    <row r="118" spans="2:13" x14ac:dyDescent="0.2">
      <c r="B118" s="552" t="s">
        <v>56</v>
      </c>
      <c r="C118" s="553"/>
      <c r="D118" s="554" t="s">
        <v>51</v>
      </c>
      <c r="E118" s="554"/>
      <c r="F118" s="554"/>
      <c r="G118" s="94"/>
      <c r="H118" s="95"/>
      <c r="I118" s="96"/>
      <c r="J118" s="96"/>
      <c r="K118" s="97"/>
      <c r="L118" s="63">
        <f t="shared" si="5"/>
        <v>47754.319999999971</v>
      </c>
      <c r="M118" s="25"/>
    </row>
    <row r="119" spans="2:13" x14ac:dyDescent="0.2">
      <c r="B119" s="91" t="s">
        <v>1</v>
      </c>
      <c r="C119" s="92" t="s">
        <v>57</v>
      </c>
      <c r="D119" s="92" t="s">
        <v>2</v>
      </c>
      <c r="E119" s="402" t="s">
        <v>3</v>
      </c>
      <c r="F119" s="402" t="s">
        <v>4</v>
      </c>
      <c r="G119" s="561" t="s">
        <v>58</v>
      </c>
      <c r="H119" s="562"/>
      <c r="I119" s="562"/>
      <c r="J119" s="563"/>
      <c r="K119" s="90"/>
      <c r="L119" s="63">
        <f t="shared" si="5"/>
        <v>47754.319999999971</v>
      </c>
      <c r="M119" s="25"/>
    </row>
    <row r="120" spans="2:13" ht="29.25" customHeight="1" x14ac:dyDescent="0.2">
      <c r="B120" s="350">
        <v>43518</v>
      </c>
      <c r="C120" s="349" t="s">
        <v>526</v>
      </c>
      <c r="D120" s="349"/>
      <c r="E120" s="3"/>
      <c r="F120" s="16"/>
      <c r="G120" s="571" t="s">
        <v>527</v>
      </c>
      <c r="H120" s="572"/>
      <c r="I120" s="573"/>
      <c r="J120" s="349"/>
      <c r="K120" s="70">
        <v>500</v>
      </c>
      <c r="L120" s="63">
        <f t="shared" si="5"/>
        <v>47254.319999999971</v>
      </c>
      <c r="M120" s="25"/>
    </row>
    <row r="121" spans="2:13" ht="24" customHeight="1" x14ac:dyDescent="0.2">
      <c r="B121" s="10">
        <v>43524</v>
      </c>
      <c r="C121" s="77" t="s">
        <v>528</v>
      </c>
      <c r="D121" s="77"/>
      <c r="E121" s="3"/>
      <c r="F121" s="16"/>
      <c r="G121" s="571" t="s">
        <v>529</v>
      </c>
      <c r="H121" s="572"/>
      <c r="I121" s="573"/>
      <c r="J121" s="349"/>
      <c r="K121" s="349"/>
      <c r="L121" s="63">
        <f t="shared" si="5"/>
        <v>47254.319999999971</v>
      </c>
      <c r="M121" s="25"/>
    </row>
    <row r="122" spans="2:13" x14ac:dyDescent="0.2">
      <c r="B122" s="64"/>
      <c r="C122" s="78"/>
      <c r="D122" s="78"/>
      <c r="E122" s="3"/>
      <c r="F122" s="16"/>
      <c r="G122" s="81"/>
      <c r="H122" s="568" t="s">
        <v>530</v>
      </c>
      <c r="I122" s="570"/>
      <c r="J122" s="12"/>
      <c r="K122" s="12">
        <v>1700</v>
      </c>
      <c r="L122" s="63">
        <f t="shared" si="5"/>
        <v>45554.319999999971</v>
      </c>
      <c r="M122" s="25"/>
    </row>
    <row r="123" spans="2:13" x14ac:dyDescent="0.2">
      <c r="B123" s="64"/>
      <c r="C123" s="78"/>
      <c r="D123" s="78"/>
      <c r="E123" s="3"/>
      <c r="F123" s="16"/>
      <c r="G123" s="69"/>
      <c r="H123" s="568" t="s">
        <v>531</v>
      </c>
      <c r="I123" s="570"/>
      <c r="J123" s="12"/>
      <c r="K123" s="12">
        <v>950</v>
      </c>
      <c r="L123" s="63">
        <f t="shared" si="5"/>
        <v>44604.319999999971</v>
      </c>
      <c r="M123" s="25"/>
    </row>
    <row r="124" spans="2:13" x14ac:dyDescent="0.2">
      <c r="B124" s="64"/>
      <c r="C124" s="78"/>
      <c r="D124" s="78"/>
      <c r="E124" s="3"/>
      <c r="F124" s="16"/>
      <c r="G124" s="81"/>
      <c r="H124" s="568" t="s">
        <v>532</v>
      </c>
      <c r="I124" s="570"/>
      <c r="J124" s="12"/>
      <c r="K124" s="12">
        <v>850</v>
      </c>
      <c r="L124" s="63">
        <f t="shared" si="5"/>
        <v>43754.319999999971</v>
      </c>
      <c r="M124" s="25"/>
    </row>
    <row r="125" spans="2:13" ht="23.25" customHeight="1" x14ac:dyDescent="0.2">
      <c r="B125" s="64">
        <v>43524</v>
      </c>
      <c r="C125" s="77" t="s">
        <v>533</v>
      </c>
      <c r="D125" s="78"/>
      <c r="E125" s="3"/>
      <c r="F125" s="16"/>
      <c r="G125" s="571" t="s">
        <v>534</v>
      </c>
      <c r="H125" s="572"/>
      <c r="I125" s="573"/>
      <c r="J125" s="12"/>
      <c r="K125" s="12">
        <f>440-440</f>
        <v>0</v>
      </c>
      <c r="L125" s="63">
        <f t="shared" si="5"/>
        <v>43754.319999999971</v>
      </c>
      <c r="M125" s="25"/>
    </row>
    <row r="126" spans="2:13" ht="16.5" customHeight="1" x14ac:dyDescent="0.2">
      <c r="B126" s="349"/>
      <c r="C126" s="349"/>
      <c r="D126" s="78"/>
      <c r="E126" s="3"/>
      <c r="F126" s="16"/>
      <c r="G126" s="349"/>
      <c r="H126" s="349"/>
      <c r="I126" s="349"/>
      <c r="J126" s="12"/>
      <c r="K126" s="12"/>
      <c r="L126" s="63">
        <f t="shared" si="5"/>
        <v>43754.319999999971</v>
      </c>
      <c r="M126" s="25"/>
    </row>
    <row r="127" spans="2:13" ht="17.25" customHeight="1" x14ac:dyDescent="0.2">
      <c r="B127" s="64"/>
      <c r="C127" s="78"/>
      <c r="D127" s="78"/>
      <c r="E127" s="3"/>
      <c r="F127" s="16"/>
      <c r="G127" s="349"/>
      <c r="H127" s="349"/>
      <c r="I127" s="349"/>
      <c r="J127" s="12"/>
      <c r="K127" s="12"/>
      <c r="L127" s="63">
        <f t="shared" si="5"/>
        <v>43754.319999999971</v>
      </c>
      <c r="M127" s="25"/>
    </row>
    <row r="128" spans="2:13" x14ac:dyDescent="0.2">
      <c r="B128" s="64"/>
      <c r="C128" s="65"/>
      <c r="D128" s="65"/>
      <c r="E128" s="13"/>
      <c r="F128" s="68"/>
      <c r="G128" s="81"/>
      <c r="H128" s="82"/>
      <c r="I128" s="12"/>
      <c r="J128" s="12"/>
      <c r="K128" s="12"/>
      <c r="L128" s="63">
        <f t="shared" si="5"/>
        <v>43754.319999999971</v>
      </c>
      <c r="M128" s="25"/>
    </row>
    <row r="129" spans="2:13" x14ac:dyDescent="0.2">
      <c r="B129" s="64"/>
      <c r="C129" s="65"/>
      <c r="D129" s="65"/>
      <c r="E129" s="13"/>
      <c r="F129" s="68"/>
      <c r="G129" s="81"/>
      <c r="H129" s="82"/>
      <c r="I129" s="12"/>
      <c r="J129" s="12"/>
      <c r="K129" s="12"/>
      <c r="L129" s="63">
        <f t="shared" si="5"/>
        <v>43754.319999999971</v>
      </c>
      <c r="M129" s="25"/>
    </row>
    <row r="130" spans="2:13" x14ac:dyDescent="0.2">
      <c r="B130" s="64"/>
      <c r="C130" s="65"/>
      <c r="D130" s="65"/>
      <c r="E130" s="13"/>
      <c r="F130" s="13"/>
      <c r="G130" s="81"/>
      <c r="H130" s="82"/>
      <c r="I130" s="12"/>
      <c r="J130" s="12"/>
      <c r="K130" s="12"/>
      <c r="L130" s="63">
        <f t="shared" si="5"/>
        <v>43754.319999999971</v>
      </c>
      <c r="M130" s="25"/>
    </row>
    <row r="131" spans="2:13" x14ac:dyDescent="0.2">
      <c r="B131" s="64"/>
      <c r="C131" s="65"/>
      <c r="D131" s="65"/>
      <c r="E131" s="13"/>
      <c r="F131" s="13"/>
      <c r="G131" s="69"/>
      <c r="H131" s="82"/>
      <c r="I131" s="12"/>
      <c r="J131" s="12"/>
      <c r="K131" s="12"/>
      <c r="L131" s="63">
        <f t="shared" si="5"/>
        <v>43754.319999999971</v>
      </c>
      <c r="M131" s="25"/>
    </row>
    <row r="132" spans="2:13" x14ac:dyDescent="0.2">
      <c r="B132" s="64"/>
      <c r="C132" s="65"/>
      <c r="D132" s="65"/>
      <c r="E132" s="13"/>
      <c r="F132" s="13"/>
      <c r="G132" s="81"/>
      <c r="H132" s="62"/>
      <c r="I132" s="12"/>
      <c r="J132" s="12"/>
      <c r="K132" s="12"/>
      <c r="L132" s="63">
        <f t="shared" si="5"/>
        <v>43754.319999999971</v>
      </c>
      <c r="M132" s="25"/>
    </row>
    <row r="133" spans="2:13" x14ac:dyDescent="0.2">
      <c r="B133" s="64"/>
      <c r="C133" s="65"/>
      <c r="D133" s="65"/>
      <c r="E133" s="3"/>
      <c r="F133" s="13"/>
      <c r="G133" s="81"/>
      <c r="H133" s="62"/>
      <c r="I133" s="12"/>
      <c r="J133" s="12"/>
      <c r="K133" s="12"/>
      <c r="L133" s="63">
        <f t="shared" si="5"/>
        <v>43754.319999999971</v>
      </c>
      <c r="M133" s="25"/>
    </row>
    <row r="134" spans="2:13" ht="12.75" thickBot="1" x14ac:dyDescent="0.25">
      <c r="B134" s="64"/>
      <c r="C134" s="65"/>
      <c r="D134" s="65"/>
      <c r="E134" s="13"/>
      <c r="F134" s="13"/>
      <c r="G134" s="104"/>
      <c r="H134" s="84"/>
      <c r="I134" s="12"/>
      <c r="J134" s="12"/>
      <c r="K134" s="12"/>
      <c r="L134" s="63"/>
      <c r="M134" s="25"/>
    </row>
    <row r="135" spans="2:13" x14ac:dyDescent="0.2">
      <c r="B135" s="56"/>
      <c r="C135" s="57"/>
      <c r="D135" s="57"/>
      <c r="E135" s="5"/>
      <c r="F135" s="5"/>
      <c r="G135" s="85" t="s">
        <v>14</v>
      </c>
      <c r="H135" s="107">
        <f>SUM(H78:H115)</f>
        <v>16160</v>
      </c>
      <c r="I135" s="105">
        <f>SUM(I78:I115)</f>
        <v>5171.2000000000007</v>
      </c>
      <c r="J135" s="106">
        <f>SUM(J78:J115)</f>
        <v>10988.800000000003</v>
      </c>
      <c r="K135" s="106">
        <f>SUM(K120:K133)</f>
        <v>4000</v>
      </c>
      <c r="L135" s="108"/>
      <c r="M135" s="25"/>
    </row>
    <row r="136" spans="2:13" ht="12.75" thickBot="1" x14ac:dyDescent="0.25">
      <c r="B136" s="71"/>
      <c r="C136" s="72"/>
      <c r="D136" s="72"/>
      <c r="E136" s="73"/>
      <c r="F136" s="73"/>
      <c r="G136" s="86" t="s">
        <v>13</v>
      </c>
      <c r="H136" s="100"/>
      <c r="I136" s="99"/>
      <c r="J136" s="87"/>
      <c r="K136" s="87"/>
      <c r="L136" s="88">
        <f>+J135-K135+L77</f>
        <v>43754.320000000007</v>
      </c>
      <c r="M136" s="25"/>
    </row>
    <row r="137" spans="2:13" x14ac:dyDescent="0.2">
      <c r="B137" s="25"/>
      <c r="H137" s="74"/>
      <c r="I137" s="25"/>
      <c r="L137" s="25"/>
      <c r="M137" s="25"/>
    </row>
    <row r="138" spans="2:13" x14ac:dyDescent="0.2">
      <c r="B138" s="544" t="s">
        <v>48</v>
      </c>
      <c r="C138" s="545"/>
      <c r="D138" s="545"/>
      <c r="E138" s="545"/>
      <c r="F138" s="545"/>
      <c r="G138" s="545"/>
      <c r="H138" s="545"/>
      <c r="I138" s="545"/>
      <c r="J138" s="545"/>
      <c r="K138" s="545"/>
      <c r="L138" s="546"/>
      <c r="M138" s="25"/>
    </row>
    <row r="139" spans="2:13" x14ac:dyDescent="0.2">
      <c r="B139" s="547" t="s">
        <v>538</v>
      </c>
      <c r="C139" s="548"/>
      <c r="D139" s="548"/>
      <c r="E139" s="548"/>
      <c r="F139" s="548"/>
      <c r="G139" s="548"/>
      <c r="H139" s="548"/>
      <c r="I139" s="548"/>
      <c r="J139" s="548"/>
      <c r="K139" s="548"/>
      <c r="L139" s="549"/>
      <c r="M139" s="25"/>
    </row>
    <row r="140" spans="2:13" x14ac:dyDescent="0.2">
      <c r="B140" s="550" t="s">
        <v>50</v>
      </c>
      <c r="C140" s="550"/>
      <c r="D140" s="551" t="s">
        <v>51</v>
      </c>
      <c r="E140" s="551"/>
      <c r="F140" s="551"/>
      <c r="G140" s="400"/>
      <c r="H140" s="400"/>
      <c r="I140" s="400"/>
      <c r="J140" s="400"/>
      <c r="K140" s="400"/>
      <c r="L140" s="401"/>
      <c r="M140" s="25"/>
    </row>
    <row r="141" spans="2:13" ht="24" x14ac:dyDescent="0.2">
      <c r="B141" s="56" t="s">
        <v>1</v>
      </c>
      <c r="C141" s="57" t="s">
        <v>2</v>
      </c>
      <c r="D141" s="57" t="s">
        <v>2</v>
      </c>
      <c r="E141" s="5" t="s">
        <v>3</v>
      </c>
      <c r="F141" s="5" t="s">
        <v>4</v>
      </c>
      <c r="G141" s="89" t="s">
        <v>6</v>
      </c>
      <c r="H141" s="83" t="s">
        <v>7</v>
      </c>
      <c r="I141" s="83" t="s">
        <v>52</v>
      </c>
      <c r="J141" s="83" t="s">
        <v>53</v>
      </c>
      <c r="K141" s="5" t="s">
        <v>10</v>
      </c>
      <c r="L141" s="5" t="s">
        <v>11</v>
      </c>
      <c r="M141" s="25"/>
    </row>
    <row r="142" spans="2:13" x14ac:dyDescent="0.2">
      <c r="B142" s="58"/>
      <c r="C142" s="59"/>
      <c r="D142" s="59"/>
      <c r="E142" s="13"/>
      <c r="F142" s="13"/>
      <c r="G142" s="24"/>
      <c r="H142" s="60"/>
      <c r="I142" s="61"/>
      <c r="J142" s="61"/>
      <c r="K142" s="61"/>
      <c r="L142" s="60">
        <f>L136</f>
        <v>43754.320000000007</v>
      </c>
      <c r="M142" s="25"/>
    </row>
    <row r="143" spans="2:13" x14ac:dyDescent="0.2">
      <c r="B143" s="110">
        <v>43525</v>
      </c>
      <c r="C143" s="111"/>
      <c r="D143" s="11"/>
      <c r="E143" s="15"/>
      <c r="F143" s="15" t="s">
        <v>434</v>
      </c>
      <c r="G143" s="15"/>
      <c r="H143" s="112">
        <v>308</v>
      </c>
      <c r="I143" s="12">
        <f>H143*0.32</f>
        <v>98.56</v>
      </c>
      <c r="J143" s="12">
        <f>H143*0.68</f>
        <v>209.44000000000003</v>
      </c>
      <c r="K143" s="12"/>
      <c r="L143" s="63">
        <f>+J143-K143+L142</f>
        <v>43963.760000000009</v>
      </c>
      <c r="M143" s="25"/>
    </row>
    <row r="144" spans="2:13" x14ac:dyDescent="0.2">
      <c r="B144" s="110">
        <v>43526</v>
      </c>
      <c r="C144" s="111"/>
      <c r="D144" s="11"/>
      <c r="E144" s="15"/>
      <c r="F144" s="15" t="s">
        <v>434</v>
      </c>
      <c r="G144" s="15"/>
      <c r="H144" s="112">
        <v>252</v>
      </c>
      <c r="I144" s="12">
        <f t="shared" ref="I144:I184" si="6">H144*0.32</f>
        <v>80.64</v>
      </c>
      <c r="J144" s="12">
        <f t="shared" ref="J144:J184" si="7">H144*0.68</f>
        <v>171.36</v>
      </c>
      <c r="K144" s="12"/>
      <c r="L144" s="63">
        <f>+J144-K144+L143</f>
        <v>44135.12000000001</v>
      </c>
      <c r="M144" s="25"/>
    </row>
    <row r="145" spans="2:13" x14ac:dyDescent="0.2">
      <c r="B145" s="110">
        <v>43528</v>
      </c>
      <c r="C145" s="111"/>
      <c r="D145" s="11"/>
      <c r="E145" s="15"/>
      <c r="F145" s="15" t="s">
        <v>434</v>
      </c>
      <c r="G145" s="15"/>
      <c r="H145" s="112">
        <v>432</v>
      </c>
      <c r="I145" s="12">
        <f t="shared" si="6"/>
        <v>138.24</v>
      </c>
      <c r="J145" s="12">
        <f t="shared" si="7"/>
        <v>293.76000000000005</v>
      </c>
      <c r="K145" s="12"/>
      <c r="L145" s="63">
        <f>+J145-K145+L144</f>
        <v>44428.880000000012</v>
      </c>
      <c r="M145" s="25"/>
    </row>
    <row r="146" spans="2:13" x14ac:dyDescent="0.2">
      <c r="B146" s="110">
        <v>43529</v>
      </c>
      <c r="C146" s="111"/>
      <c r="D146" s="77"/>
      <c r="E146" s="15"/>
      <c r="F146" s="15" t="s">
        <v>434</v>
      </c>
      <c r="G146" s="66"/>
      <c r="H146" s="112">
        <v>884</v>
      </c>
      <c r="I146" s="12">
        <f t="shared" si="6"/>
        <v>282.88</v>
      </c>
      <c r="J146" s="12">
        <f t="shared" si="7"/>
        <v>601.12</v>
      </c>
      <c r="K146" s="12"/>
      <c r="L146" s="63">
        <f>+J146-K146+L145</f>
        <v>45030.000000000015</v>
      </c>
      <c r="M146" s="25"/>
    </row>
    <row r="147" spans="2:13" x14ac:dyDescent="0.2">
      <c r="B147" s="110">
        <v>43530</v>
      </c>
      <c r="C147" s="111"/>
      <c r="D147" s="11"/>
      <c r="E147" s="15"/>
      <c r="F147" s="15" t="s">
        <v>434</v>
      </c>
      <c r="G147" s="15"/>
      <c r="H147" s="112">
        <v>288</v>
      </c>
      <c r="I147" s="12">
        <f t="shared" si="6"/>
        <v>92.16</v>
      </c>
      <c r="J147" s="12">
        <f t="shared" si="7"/>
        <v>195.84</v>
      </c>
      <c r="K147" s="12"/>
      <c r="L147" s="63">
        <f t="shared" ref="L147:L210" si="8">+J147-K147+L146</f>
        <v>45225.840000000011</v>
      </c>
      <c r="M147" s="25"/>
    </row>
    <row r="148" spans="2:13" x14ac:dyDescent="0.2">
      <c r="B148" s="110">
        <v>43531</v>
      </c>
      <c r="C148" s="111"/>
      <c r="D148" s="11"/>
      <c r="E148" s="15"/>
      <c r="F148" s="15" t="s">
        <v>434</v>
      </c>
      <c r="G148" s="15"/>
      <c r="H148" s="112">
        <v>368</v>
      </c>
      <c r="I148" s="12">
        <f t="shared" si="6"/>
        <v>117.76</v>
      </c>
      <c r="J148" s="12">
        <f t="shared" si="7"/>
        <v>250.24</v>
      </c>
      <c r="K148" s="12"/>
      <c r="L148" s="63">
        <f t="shared" si="8"/>
        <v>45476.080000000009</v>
      </c>
      <c r="M148" s="25"/>
    </row>
    <row r="149" spans="2:13" x14ac:dyDescent="0.2">
      <c r="B149" s="110">
        <v>43532</v>
      </c>
      <c r="C149" s="111"/>
      <c r="D149" s="11"/>
      <c r="E149" s="15"/>
      <c r="F149" s="15" t="s">
        <v>434</v>
      </c>
      <c r="G149" s="15"/>
      <c r="H149" s="112">
        <f>248-70</f>
        <v>178</v>
      </c>
      <c r="I149" s="12">
        <f t="shared" si="6"/>
        <v>56.96</v>
      </c>
      <c r="J149" s="12">
        <f t="shared" si="7"/>
        <v>121.04</v>
      </c>
      <c r="K149" s="12"/>
      <c r="L149" s="63">
        <f t="shared" si="8"/>
        <v>45597.12000000001</v>
      </c>
      <c r="M149" s="25"/>
    </row>
    <row r="150" spans="2:13" x14ac:dyDescent="0.2">
      <c r="B150" s="110">
        <v>43535</v>
      </c>
      <c r="C150" s="111"/>
      <c r="D150" s="11"/>
      <c r="E150" s="15"/>
      <c r="F150" s="15" t="s">
        <v>434</v>
      </c>
      <c r="G150" s="15"/>
      <c r="H150" s="112">
        <v>615</v>
      </c>
      <c r="I150" s="12">
        <f t="shared" si="6"/>
        <v>196.8</v>
      </c>
      <c r="J150" s="12">
        <f t="shared" si="7"/>
        <v>418.20000000000005</v>
      </c>
      <c r="K150" s="12"/>
      <c r="L150" s="63">
        <f t="shared" si="8"/>
        <v>46015.320000000007</v>
      </c>
      <c r="M150" s="25"/>
    </row>
    <row r="151" spans="2:13" x14ac:dyDescent="0.2">
      <c r="B151" s="110">
        <v>43536</v>
      </c>
      <c r="C151" s="111"/>
      <c r="D151" s="11"/>
      <c r="E151" s="15"/>
      <c r="F151" s="15" t="s">
        <v>434</v>
      </c>
      <c r="G151" s="15"/>
      <c r="H151" s="112">
        <v>1072</v>
      </c>
      <c r="I151" s="12">
        <f t="shared" si="6"/>
        <v>343.04</v>
      </c>
      <c r="J151" s="12">
        <f t="shared" si="7"/>
        <v>728.96</v>
      </c>
      <c r="K151" s="12"/>
      <c r="L151" s="63">
        <f t="shared" si="8"/>
        <v>46744.280000000006</v>
      </c>
      <c r="M151" s="25"/>
    </row>
    <row r="152" spans="2:13" x14ac:dyDescent="0.2">
      <c r="B152" s="110">
        <v>43537</v>
      </c>
      <c r="C152" s="111"/>
      <c r="D152" s="11"/>
      <c r="E152" s="15"/>
      <c r="F152" s="15" t="s">
        <v>434</v>
      </c>
      <c r="G152" s="15"/>
      <c r="H152" s="112">
        <v>308</v>
      </c>
      <c r="I152" s="12">
        <f t="shared" si="6"/>
        <v>98.56</v>
      </c>
      <c r="J152" s="12">
        <f t="shared" si="7"/>
        <v>209.44000000000003</v>
      </c>
      <c r="K152" s="12"/>
      <c r="L152" s="63">
        <f t="shared" si="8"/>
        <v>46953.720000000008</v>
      </c>
      <c r="M152" s="25"/>
    </row>
    <row r="153" spans="2:13" x14ac:dyDescent="0.2">
      <c r="B153" s="110">
        <v>43538</v>
      </c>
      <c r="C153" s="111"/>
      <c r="D153" s="11"/>
      <c r="E153" s="15"/>
      <c r="F153" s="15" t="s">
        <v>434</v>
      </c>
      <c r="G153" s="15"/>
      <c r="H153" s="112">
        <v>432</v>
      </c>
      <c r="I153" s="12">
        <f t="shared" si="6"/>
        <v>138.24</v>
      </c>
      <c r="J153" s="12">
        <f t="shared" si="7"/>
        <v>293.76000000000005</v>
      </c>
      <c r="K153" s="12"/>
      <c r="L153" s="63">
        <f t="shared" si="8"/>
        <v>47247.48000000001</v>
      </c>
      <c r="M153" s="25"/>
    </row>
    <row r="154" spans="2:13" x14ac:dyDescent="0.2">
      <c r="B154" s="110">
        <v>43542</v>
      </c>
      <c r="C154" s="111"/>
      <c r="D154" s="11"/>
      <c r="E154" s="15"/>
      <c r="F154" s="15" t="s">
        <v>434</v>
      </c>
      <c r="G154" s="15"/>
      <c r="H154" s="112">
        <v>2196</v>
      </c>
      <c r="I154" s="12">
        <f t="shared" si="6"/>
        <v>702.72</v>
      </c>
      <c r="J154" s="12">
        <f t="shared" si="7"/>
        <v>1493.2800000000002</v>
      </c>
      <c r="K154" s="12"/>
      <c r="L154" s="63">
        <f t="shared" si="8"/>
        <v>48740.760000000009</v>
      </c>
      <c r="M154" s="25"/>
    </row>
    <row r="155" spans="2:13" x14ac:dyDescent="0.2">
      <c r="B155" s="110">
        <v>43543</v>
      </c>
      <c r="C155" s="111"/>
      <c r="D155" s="11"/>
      <c r="E155" s="15"/>
      <c r="F155" s="15" t="s">
        <v>434</v>
      </c>
      <c r="G155" s="15"/>
      <c r="H155" s="112">
        <v>760</v>
      </c>
      <c r="I155" s="12">
        <f t="shared" si="6"/>
        <v>243.20000000000002</v>
      </c>
      <c r="J155" s="12">
        <f t="shared" si="7"/>
        <v>516.80000000000007</v>
      </c>
      <c r="K155" s="12"/>
      <c r="L155" s="63">
        <f t="shared" si="8"/>
        <v>49257.560000000012</v>
      </c>
      <c r="M155" s="25"/>
    </row>
    <row r="156" spans="2:13" x14ac:dyDescent="0.2">
      <c r="B156" s="110">
        <v>43544</v>
      </c>
      <c r="C156" s="111"/>
      <c r="D156" s="11"/>
      <c r="E156" s="15"/>
      <c r="F156" s="15" t="s">
        <v>434</v>
      </c>
      <c r="G156" s="15"/>
      <c r="H156" s="112">
        <v>1292</v>
      </c>
      <c r="I156" s="12">
        <f t="shared" si="6"/>
        <v>413.44</v>
      </c>
      <c r="J156" s="12">
        <f t="shared" si="7"/>
        <v>878.56000000000006</v>
      </c>
      <c r="K156" s="12"/>
      <c r="L156" s="63">
        <f t="shared" si="8"/>
        <v>50136.12000000001</v>
      </c>
      <c r="M156" s="25"/>
    </row>
    <row r="157" spans="2:13" x14ac:dyDescent="0.2">
      <c r="B157" s="110">
        <v>43545</v>
      </c>
      <c r="C157" s="77"/>
      <c r="D157" s="77"/>
      <c r="E157" s="13"/>
      <c r="F157" s="15" t="s">
        <v>434</v>
      </c>
      <c r="G157" s="15"/>
      <c r="H157" s="112">
        <v>502</v>
      </c>
      <c r="I157" s="12">
        <f t="shared" si="6"/>
        <v>160.64000000000001</v>
      </c>
      <c r="J157" s="12">
        <f t="shared" si="7"/>
        <v>341.36</v>
      </c>
      <c r="K157" s="12"/>
      <c r="L157" s="63">
        <f t="shared" si="8"/>
        <v>50477.48000000001</v>
      </c>
      <c r="M157" s="25"/>
    </row>
    <row r="158" spans="2:13" x14ac:dyDescent="0.2">
      <c r="B158" s="110">
        <v>43546</v>
      </c>
      <c r="C158" s="65"/>
      <c r="D158" s="65"/>
      <c r="E158" s="13"/>
      <c r="F158" s="15" t="s">
        <v>434</v>
      </c>
      <c r="G158" s="66"/>
      <c r="H158" s="112">
        <v>308</v>
      </c>
      <c r="I158" s="12">
        <f t="shared" si="6"/>
        <v>98.56</v>
      </c>
      <c r="J158" s="12">
        <f t="shared" si="7"/>
        <v>209.44000000000003</v>
      </c>
      <c r="K158" s="12"/>
      <c r="L158" s="63">
        <f t="shared" si="8"/>
        <v>50686.920000000013</v>
      </c>
      <c r="M158" s="25"/>
    </row>
    <row r="159" spans="2:13" x14ac:dyDescent="0.2">
      <c r="B159" s="110">
        <v>43549</v>
      </c>
      <c r="C159" s="353" t="s">
        <v>569</v>
      </c>
      <c r="D159" s="65"/>
      <c r="E159" s="13"/>
      <c r="F159" s="15" t="s">
        <v>570</v>
      </c>
      <c r="G159" s="66"/>
      <c r="H159" s="112">
        <f>310-310</f>
        <v>0</v>
      </c>
      <c r="I159" s="12">
        <f t="shared" si="6"/>
        <v>0</v>
      </c>
      <c r="J159" s="12">
        <f t="shared" si="7"/>
        <v>0</v>
      </c>
      <c r="K159" s="12"/>
      <c r="L159" s="63">
        <f t="shared" si="8"/>
        <v>50686.920000000013</v>
      </c>
      <c r="M159" s="25"/>
    </row>
    <row r="160" spans="2:13" x14ac:dyDescent="0.2">
      <c r="B160" s="110">
        <v>43550</v>
      </c>
      <c r="C160" s="353" t="s">
        <v>569</v>
      </c>
      <c r="D160" s="65"/>
      <c r="E160" s="13"/>
      <c r="F160" s="15" t="s">
        <v>570</v>
      </c>
      <c r="G160" s="66"/>
      <c r="H160" s="112">
        <v>1804</v>
      </c>
      <c r="I160" s="12">
        <f t="shared" si="6"/>
        <v>577.28</v>
      </c>
      <c r="J160" s="12">
        <f t="shared" si="7"/>
        <v>1226.72</v>
      </c>
      <c r="K160" s="12"/>
      <c r="L160" s="63">
        <f t="shared" si="8"/>
        <v>51913.640000000014</v>
      </c>
      <c r="M160" s="25"/>
    </row>
    <row r="161" spans="2:13" x14ac:dyDescent="0.2">
      <c r="B161" s="110">
        <v>43551</v>
      </c>
      <c r="C161" s="353" t="s">
        <v>569</v>
      </c>
      <c r="D161" s="65"/>
      <c r="E161" s="13"/>
      <c r="F161" s="15" t="s">
        <v>570</v>
      </c>
      <c r="G161" s="66"/>
      <c r="H161" s="112">
        <v>308</v>
      </c>
      <c r="I161" s="12">
        <f t="shared" si="6"/>
        <v>98.56</v>
      </c>
      <c r="J161" s="12">
        <f t="shared" si="7"/>
        <v>209.44000000000003</v>
      </c>
      <c r="K161" s="12"/>
      <c r="L161" s="63">
        <f t="shared" si="8"/>
        <v>52123.080000000016</v>
      </c>
      <c r="M161" s="25"/>
    </row>
    <row r="162" spans="2:13" x14ac:dyDescent="0.2">
      <c r="B162" s="110">
        <v>43552</v>
      </c>
      <c r="C162" s="353" t="s">
        <v>569</v>
      </c>
      <c r="D162" s="65"/>
      <c r="E162" s="13"/>
      <c r="F162" s="15" t="s">
        <v>570</v>
      </c>
      <c r="G162" s="66"/>
      <c r="H162" s="112">
        <f>358-30</f>
        <v>328</v>
      </c>
      <c r="I162" s="12">
        <f t="shared" si="6"/>
        <v>104.96000000000001</v>
      </c>
      <c r="J162" s="12">
        <f t="shared" si="7"/>
        <v>223.04000000000002</v>
      </c>
      <c r="K162" s="12"/>
      <c r="L162" s="63">
        <f t="shared" si="8"/>
        <v>52346.120000000017</v>
      </c>
      <c r="M162" s="25"/>
    </row>
    <row r="163" spans="2:13" x14ac:dyDescent="0.2">
      <c r="B163" s="110">
        <v>43553</v>
      </c>
      <c r="C163" s="353" t="s">
        <v>569</v>
      </c>
      <c r="D163" s="65"/>
      <c r="E163" s="13"/>
      <c r="F163" s="15" t="s">
        <v>570</v>
      </c>
      <c r="G163" s="66"/>
      <c r="H163" s="112">
        <v>1088</v>
      </c>
      <c r="I163" s="12">
        <f t="shared" si="6"/>
        <v>348.16</v>
      </c>
      <c r="J163" s="12">
        <f t="shared" si="7"/>
        <v>739.84</v>
      </c>
      <c r="K163" s="12"/>
      <c r="L163" s="63">
        <f t="shared" si="8"/>
        <v>53085.960000000014</v>
      </c>
      <c r="M163" s="25"/>
    </row>
    <row r="164" spans="2:13" x14ac:dyDescent="0.2">
      <c r="B164" s="110">
        <v>43554</v>
      </c>
      <c r="C164" s="353" t="s">
        <v>569</v>
      </c>
      <c r="D164" s="65"/>
      <c r="E164" s="13"/>
      <c r="F164" s="15" t="s">
        <v>570</v>
      </c>
      <c r="G164" s="66"/>
      <c r="H164" s="112">
        <v>164</v>
      </c>
      <c r="I164" s="12">
        <f t="shared" si="6"/>
        <v>52.480000000000004</v>
      </c>
      <c r="J164" s="12">
        <f t="shared" si="7"/>
        <v>111.52000000000001</v>
      </c>
      <c r="K164" s="12"/>
      <c r="L164" s="63">
        <f t="shared" si="8"/>
        <v>53197.48000000001</v>
      </c>
      <c r="M164" s="25"/>
    </row>
    <row r="165" spans="2:13" x14ac:dyDescent="0.2">
      <c r="B165" s="110">
        <v>43525</v>
      </c>
      <c r="C165" s="353"/>
      <c r="D165" s="65"/>
      <c r="E165" s="13"/>
      <c r="F165" s="15"/>
      <c r="G165" s="66"/>
      <c r="H165" s="112">
        <v>466</v>
      </c>
      <c r="I165" s="12">
        <f t="shared" si="6"/>
        <v>149.12</v>
      </c>
      <c r="J165" s="12">
        <f t="shared" si="7"/>
        <v>316.88</v>
      </c>
      <c r="K165" s="12"/>
      <c r="L165" s="63">
        <f t="shared" si="8"/>
        <v>53514.360000000008</v>
      </c>
      <c r="M165" s="25"/>
    </row>
    <row r="166" spans="2:13" x14ac:dyDescent="0.2">
      <c r="B166" s="110">
        <v>43526</v>
      </c>
      <c r="C166" s="353"/>
      <c r="D166" s="65"/>
      <c r="E166" s="13"/>
      <c r="F166" s="15"/>
      <c r="G166" s="66"/>
      <c r="H166" s="112">
        <v>144</v>
      </c>
      <c r="I166" s="12">
        <f t="shared" si="6"/>
        <v>46.08</v>
      </c>
      <c r="J166" s="12">
        <f t="shared" si="7"/>
        <v>97.92</v>
      </c>
      <c r="K166" s="12"/>
      <c r="L166" s="63">
        <f t="shared" si="8"/>
        <v>53612.280000000006</v>
      </c>
      <c r="M166" s="25"/>
    </row>
    <row r="167" spans="2:13" x14ac:dyDescent="0.2">
      <c r="B167" s="110">
        <v>43528</v>
      </c>
      <c r="C167" s="353"/>
      <c r="D167" s="65"/>
      <c r="E167" s="13"/>
      <c r="F167" s="15"/>
      <c r="G167" s="66"/>
      <c r="H167" s="112">
        <v>576</v>
      </c>
      <c r="I167" s="12">
        <f t="shared" si="6"/>
        <v>184.32</v>
      </c>
      <c r="J167" s="12">
        <f t="shared" si="7"/>
        <v>391.68</v>
      </c>
      <c r="K167" s="12"/>
      <c r="L167" s="63">
        <f t="shared" si="8"/>
        <v>54003.960000000006</v>
      </c>
      <c r="M167" s="25"/>
    </row>
    <row r="168" spans="2:13" x14ac:dyDescent="0.2">
      <c r="B168" s="110">
        <v>43529</v>
      </c>
      <c r="C168" s="353"/>
      <c r="D168" s="65"/>
      <c r="E168" s="13"/>
      <c r="F168" s="15"/>
      <c r="G168" s="66"/>
      <c r="H168" s="112">
        <v>848</v>
      </c>
      <c r="I168" s="12">
        <f t="shared" si="6"/>
        <v>271.36</v>
      </c>
      <c r="J168" s="12">
        <f t="shared" si="7"/>
        <v>576.64</v>
      </c>
      <c r="K168" s="12"/>
      <c r="L168" s="63">
        <f t="shared" si="8"/>
        <v>54580.600000000006</v>
      </c>
      <c r="M168" s="25"/>
    </row>
    <row r="169" spans="2:13" x14ac:dyDescent="0.2">
      <c r="B169" s="110">
        <v>43530</v>
      </c>
      <c r="C169" s="353"/>
      <c r="D169" s="65"/>
      <c r="E169" s="13"/>
      <c r="F169" s="15"/>
      <c r="G169" s="66"/>
      <c r="H169" s="112">
        <v>288</v>
      </c>
      <c r="I169" s="12">
        <f t="shared" si="6"/>
        <v>92.16</v>
      </c>
      <c r="J169" s="12">
        <f t="shared" si="7"/>
        <v>195.84</v>
      </c>
      <c r="K169" s="12"/>
      <c r="L169" s="63">
        <f t="shared" si="8"/>
        <v>54776.44</v>
      </c>
      <c r="M169" s="25"/>
    </row>
    <row r="170" spans="2:13" x14ac:dyDescent="0.2">
      <c r="B170" s="110">
        <v>43531</v>
      </c>
      <c r="C170" s="353"/>
      <c r="D170" s="65"/>
      <c r="E170" s="13"/>
      <c r="F170" s="15"/>
      <c r="G170" s="66"/>
      <c r="H170" s="112">
        <v>432</v>
      </c>
      <c r="I170" s="12">
        <f t="shared" si="6"/>
        <v>138.24</v>
      </c>
      <c r="J170" s="12">
        <f t="shared" si="7"/>
        <v>293.76000000000005</v>
      </c>
      <c r="K170" s="12"/>
      <c r="L170" s="63">
        <f t="shared" si="8"/>
        <v>55070.200000000004</v>
      </c>
      <c r="M170" s="25"/>
    </row>
    <row r="171" spans="2:13" x14ac:dyDescent="0.2">
      <c r="B171" s="110">
        <v>43532</v>
      </c>
      <c r="C171" s="353"/>
      <c r="D171" s="65"/>
      <c r="E171" s="13"/>
      <c r="F171" s="15"/>
      <c r="G171" s="66"/>
      <c r="H171" s="112">
        <v>30</v>
      </c>
      <c r="I171" s="12">
        <f t="shared" si="6"/>
        <v>9.6</v>
      </c>
      <c r="J171" s="12">
        <f t="shared" si="7"/>
        <v>20.400000000000002</v>
      </c>
      <c r="K171" s="12"/>
      <c r="L171" s="63">
        <f t="shared" si="8"/>
        <v>55090.600000000006</v>
      </c>
      <c r="M171" s="25"/>
    </row>
    <row r="172" spans="2:13" x14ac:dyDescent="0.2">
      <c r="B172" s="110">
        <v>43535</v>
      </c>
      <c r="C172" s="353"/>
      <c r="D172" s="65"/>
      <c r="E172" s="13"/>
      <c r="F172" s="15"/>
      <c r="G172" s="66"/>
      <c r="H172" s="112">
        <v>144</v>
      </c>
      <c r="I172" s="12">
        <f t="shared" si="6"/>
        <v>46.08</v>
      </c>
      <c r="J172" s="12">
        <f t="shared" si="7"/>
        <v>97.92</v>
      </c>
      <c r="K172" s="12"/>
      <c r="L172" s="63">
        <f t="shared" si="8"/>
        <v>55188.520000000004</v>
      </c>
      <c r="M172" s="25"/>
    </row>
    <row r="173" spans="2:13" x14ac:dyDescent="0.2">
      <c r="B173" s="110">
        <v>43536</v>
      </c>
      <c r="C173" s="353"/>
      <c r="D173" s="65"/>
      <c r="E173" s="13"/>
      <c r="F173" s="15"/>
      <c r="G173" s="66"/>
      <c r="H173" s="112">
        <v>596</v>
      </c>
      <c r="I173" s="12">
        <f t="shared" si="6"/>
        <v>190.72</v>
      </c>
      <c r="J173" s="12">
        <f t="shared" si="7"/>
        <v>405.28000000000003</v>
      </c>
      <c r="K173" s="12"/>
      <c r="L173" s="63">
        <f t="shared" si="8"/>
        <v>55593.8</v>
      </c>
      <c r="M173" s="25"/>
    </row>
    <row r="174" spans="2:13" x14ac:dyDescent="0.2">
      <c r="B174" s="110">
        <v>43537</v>
      </c>
      <c r="C174" s="353"/>
      <c r="D174" s="65"/>
      <c r="E174" s="13"/>
      <c r="F174" s="15"/>
      <c r="G174" s="66"/>
      <c r="H174" s="112">
        <v>576</v>
      </c>
      <c r="I174" s="12">
        <f t="shared" si="6"/>
        <v>184.32</v>
      </c>
      <c r="J174" s="12">
        <f t="shared" si="7"/>
        <v>391.68</v>
      </c>
      <c r="K174" s="12"/>
      <c r="L174" s="63">
        <f t="shared" si="8"/>
        <v>55985.48</v>
      </c>
      <c r="M174" s="25"/>
    </row>
    <row r="175" spans="2:13" x14ac:dyDescent="0.2">
      <c r="B175" s="110">
        <v>43540</v>
      </c>
      <c r="C175" s="353"/>
      <c r="D175" s="65"/>
      <c r="E175" s="13"/>
      <c r="F175" s="15"/>
      <c r="G175" s="66"/>
      <c r="H175" s="112">
        <v>414</v>
      </c>
      <c r="I175" s="12">
        <f t="shared" si="6"/>
        <v>132.47999999999999</v>
      </c>
      <c r="J175" s="12">
        <f t="shared" si="7"/>
        <v>281.52000000000004</v>
      </c>
      <c r="K175" s="12"/>
      <c r="L175" s="63">
        <f t="shared" si="8"/>
        <v>56267</v>
      </c>
      <c r="M175" s="25"/>
    </row>
    <row r="176" spans="2:13" x14ac:dyDescent="0.2">
      <c r="B176" s="110">
        <v>43542</v>
      </c>
      <c r="C176" s="353"/>
      <c r="D176" s="65"/>
      <c r="E176" s="13"/>
      <c r="F176" s="15"/>
      <c r="G176" s="66"/>
      <c r="H176" s="112">
        <v>352</v>
      </c>
      <c r="I176" s="12">
        <f t="shared" si="6"/>
        <v>112.64</v>
      </c>
      <c r="J176" s="12">
        <f t="shared" si="7"/>
        <v>239.36</v>
      </c>
      <c r="K176" s="12"/>
      <c r="L176" s="63">
        <f t="shared" si="8"/>
        <v>56506.36</v>
      </c>
      <c r="M176" s="25"/>
    </row>
    <row r="177" spans="2:13" x14ac:dyDescent="0.2">
      <c r="B177" s="110">
        <v>43543</v>
      </c>
      <c r="C177" s="353"/>
      <c r="D177" s="65"/>
      <c r="E177" s="13"/>
      <c r="F177" s="15"/>
      <c r="G177" s="66"/>
      <c r="H177" s="112">
        <v>1768</v>
      </c>
      <c r="I177" s="12">
        <f t="shared" si="6"/>
        <v>565.76</v>
      </c>
      <c r="J177" s="12">
        <f t="shared" si="7"/>
        <v>1202.24</v>
      </c>
      <c r="K177" s="12"/>
      <c r="L177" s="63">
        <f t="shared" si="8"/>
        <v>57708.6</v>
      </c>
      <c r="M177" s="25"/>
    </row>
    <row r="178" spans="2:13" x14ac:dyDescent="0.2">
      <c r="B178" s="110">
        <v>43544</v>
      </c>
      <c r="C178" s="353"/>
      <c r="D178" s="65"/>
      <c r="E178" s="13"/>
      <c r="F178" s="15"/>
      <c r="G178" s="66"/>
      <c r="H178" s="112">
        <v>30</v>
      </c>
      <c r="I178" s="12">
        <f t="shared" si="6"/>
        <v>9.6</v>
      </c>
      <c r="J178" s="12">
        <f t="shared" si="7"/>
        <v>20.400000000000002</v>
      </c>
      <c r="K178" s="12"/>
      <c r="L178" s="63">
        <f t="shared" si="8"/>
        <v>57729</v>
      </c>
      <c r="M178" s="25"/>
    </row>
    <row r="179" spans="2:13" x14ac:dyDescent="0.2">
      <c r="B179" s="110">
        <v>43546</v>
      </c>
      <c r="C179" s="353"/>
      <c r="D179" s="65"/>
      <c r="E179" s="13"/>
      <c r="F179" s="15"/>
      <c r="G179" s="66"/>
      <c r="H179" s="112">
        <v>188</v>
      </c>
      <c r="I179" s="12">
        <f t="shared" si="6"/>
        <v>60.160000000000004</v>
      </c>
      <c r="J179" s="12">
        <f t="shared" si="7"/>
        <v>127.84</v>
      </c>
      <c r="K179" s="12"/>
      <c r="L179" s="63">
        <f t="shared" si="8"/>
        <v>57856.84</v>
      </c>
      <c r="M179" s="25"/>
    </row>
    <row r="180" spans="2:13" x14ac:dyDescent="0.2">
      <c r="B180" s="110">
        <v>43549</v>
      </c>
      <c r="C180" s="353"/>
      <c r="D180" s="65"/>
      <c r="E180" s="13"/>
      <c r="F180" s="15"/>
      <c r="G180" s="66"/>
      <c r="H180" s="112">
        <v>414</v>
      </c>
      <c r="I180" s="12">
        <f t="shared" si="6"/>
        <v>132.47999999999999</v>
      </c>
      <c r="J180" s="12">
        <f t="shared" si="7"/>
        <v>281.52000000000004</v>
      </c>
      <c r="K180" s="12"/>
      <c r="L180" s="63">
        <f t="shared" si="8"/>
        <v>58138.359999999993</v>
      </c>
      <c r="M180" s="25"/>
    </row>
    <row r="181" spans="2:13" x14ac:dyDescent="0.2">
      <c r="B181" s="110">
        <v>43550</v>
      </c>
      <c r="C181" s="353"/>
      <c r="D181" s="65"/>
      <c r="E181" s="13"/>
      <c r="F181" s="15"/>
      <c r="G181" s="66"/>
      <c r="H181" s="112">
        <v>144</v>
      </c>
      <c r="I181" s="12">
        <f t="shared" si="6"/>
        <v>46.08</v>
      </c>
      <c r="J181" s="12">
        <f t="shared" si="7"/>
        <v>97.92</v>
      </c>
      <c r="K181" s="12"/>
      <c r="L181" s="63">
        <f t="shared" si="8"/>
        <v>58236.279999999992</v>
      </c>
      <c r="M181" s="25"/>
    </row>
    <row r="182" spans="2:13" x14ac:dyDescent="0.2">
      <c r="B182" s="110">
        <v>43643</v>
      </c>
      <c r="C182" s="353"/>
      <c r="D182" s="65"/>
      <c r="E182" s="13"/>
      <c r="F182" s="15"/>
      <c r="G182" s="66"/>
      <c r="H182" s="112">
        <v>164</v>
      </c>
      <c r="I182" s="12">
        <f t="shared" si="6"/>
        <v>52.480000000000004</v>
      </c>
      <c r="J182" s="12">
        <f t="shared" si="7"/>
        <v>111.52000000000001</v>
      </c>
      <c r="K182" s="12"/>
      <c r="L182" s="63">
        <f t="shared" si="8"/>
        <v>58347.799999999988</v>
      </c>
      <c r="M182" s="25"/>
    </row>
    <row r="183" spans="2:13" x14ac:dyDescent="0.2">
      <c r="B183" s="110">
        <v>43552</v>
      </c>
      <c r="C183" s="353"/>
      <c r="D183" s="65"/>
      <c r="E183" s="13"/>
      <c r="F183" s="15"/>
      <c r="G183" s="66"/>
      <c r="H183" s="112">
        <f>144+30</f>
        <v>174</v>
      </c>
      <c r="I183" s="12">
        <f t="shared" si="6"/>
        <v>55.68</v>
      </c>
      <c r="J183" s="12">
        <f t="shared" si="7"/>
        <v>118.32000000000001</v>
      </c>
      <c r="K183" s="12"/>
      <c r="L183" s="63">
        <f t="shared" si="8"/>
        <v>58466.119999999988</v>
      </c>
      <c r="M183" s="25"/>
    </row>
    <row r="184" spans="2:13" x14ac:dyDescent="0.2">
      <c r="B184" s="110">
        <v>43553</v>
      </c>
      <c r="C184" s="353"/>
      <c r="D184" s="65"/>
      <c r="E184" s="13"/>
      <c r="F184" s="15"/>
      <c r="G184" s="66"/>
      <c r="H184" s="112">
        <f>328+258</f>
        <v>586</v>
      </c>
      <c r="I184" s="12">
        <f t="shared" si="6"/>
        <v>187.52</v>
      </c>
      <c r="J184" s="12">
        <f t="shared" si="7"/>
        <v>398.48</v>
      </c>
      <c r="K184" s="12"/>
      <c r="L184" s="63">
        <f t="shared" si="8"/>
        <v>58864.599999999991</v>
      </c>
      <c r="M184" s="25"/>
    </row>
    <row r="185" spans="2:13" x14ac:dyDescent="0.2">
      <c r="B185" s="110"/>
      <c r="C185" s="353"/>
      <c r="D185" s="65"/>
      <c r="E185" s="13"/>
      <c r="F185" s="15"/>
      <c r="G185" s="66"/>
      <c r="H185" s="112"/>
      <c r="I185" s="12"/>
      <c r="J185" s="12"/>
      <c r="K185" s="12"/>
      <c r="L185" s="63">
        <f t="shared" si="8"/>
        <v>58864.599999999991</v>
      </c>
      <c r="M185" s="25"/>
    </row>
    <row r="186" spans="2:13" x14ac:dyDescent="0.2">
      <c r="B186" s="110"/>
      <c r="C186" s="65"/>
      <c r="D186" s="65"/>
      <c r="E186" s="13"/>
      <c r="F186" s="15"/>
      <c r="G186" s="66"/>
      <c r="H186" s="112"/>
      <c r="I186" s="12"/>
      <c r="J186" s="12"/>
      <c r="K186" s="12"/>
      <c r="L186" s="63">
        <f t="shared" si="8"/>
        <v>58864.599999999991</v>
      </c>
      <c r="M186" s="25"/>
    </row>
    <row r="187" spans="2:13" x14ac:dyDescent="0.2">
      <c r="B187" s="547" t="s">
        <v>192</v>
      </c>
      <c r="C187" s="548"/>
      <c r="D187" s="548"/>
      <c r="E187" s="548"/>
      <c r="F187" s="548"/>
      <c r="G187" s="548"/>
      <c r="H187" s="548"/>
      <c r="I187" s="548"/>
      <c r="J187" s="548"/>
      <c r="K187" s="548"/>
      <c r="L187" s="63">
        <f t="shared" si="8"/>
        <v>58864.599999999991</v>
      </c>
      <c r="M187" s="25"/>
    </row>
    <row r="188" spans="2:13" x14ac:dyDescent="0.2">
      <c r="B188" s="552" t="s">
        <v>56</v>
      </c>
      <c r="C188" s="553"/>
      <c r="D188" s="554" t="s">
        <v>51</v>
      </c>
      <c r="E188" s="554"/>
      <c r="F188" s="554"/>
      <c r="G188" s="94"/>
      <c r="H188" s="95"/>
      <c r="I188" s="96"/>
      <c r="J188" s="96"/>
      <c r="K188" s="97"/>
      <c r="L188" s="63">
        <f t="shared" si="8"/>
        <v>58864.599999999991</v>
      </c>
      <c r="M188" s="25"/>
    </row>
    <row r="189" spans="2:13" x14ac:dyDescent="0.2">
      <c r="B189" s="91" t="s">
        <v>1</v>
      </c>
      <c r="C189" s="92" t="s">
        <v>57</v>
      </c>
      <c r="D189" s="92" t="s">
        <v>2</v>
      </c>
      <c r="E189" s="402" t="s">
        <v>3</v>
      </c>
      <c r="F189" s="402" t="s">
        <v>4</v>
      </c>
      <c r="G189" s="561" t="s">
        <v>58</v>
      </c>
      <c r="H189" s="562"/>
      <c r="I189" s="562"/>
      <c r="J189" s="563"/>
      <c r="K189" s="90"/>
      <c r="L189" s="63">
        <f t="shared" si="8"/>
        <v>58864.599999999991</v>
      </c>
      <c r="M189" s="25"/>
    </row>
    <row r="190" spans="2:13" ht="48" customHeight="1" x14ac:dyDescent="0.2">
      <c r="B190" s="64">
        <v>43545</v>
      </c>
      <c r="C190" s="349" t="s">
        <v>539</v>
      </c>
      <c r="D190" s="349"/>
      <c r="E190" s="3"/>
      <c r="F190" s="16"/>
      <c r="G190" s="574" t="s">
        <v>541</v>
      </c>
      <c r="H190" s="575"/>
      <c r="I190" s="576"/>
      <c r="J190" s="349"/>
      <c r="K190" s="358">
        <v>1040</v>
      </c>
      <c r="L190" s="63">
        <f t="shared" si="8"/>
        <v>57824.599999999991</v>
      </c>
      <c r="M190" s="25"/>
    </row>
    <row r="191" spans="2:13" ht="51.75" customHeight="1" x14ac:dyDescent="0.2">
      <c r="B191" s="10"/>
      <c r="C191" s="77"/>
      <c r="D191" s="77"/>
      <c r="E191" s="3"/>
      <c r="F191" s="16"/>
      <c r="G191" s="574" t="s">
        <v>540</v>
      </c>
      <c r="H191" s="575"/>
      <c r="I191" s="576"/>
      <c r="J191" s="349"/>
      <c r="K191" s="358">
        <v>1040</v>
      </c>
      <c r="L191" s="63">
        <f t="shared" si="8"/>
        <v>56784.599999999991</v>
      </c>
      <c r="M191" s="25"/>
    </row>
    <row r="192" spans="2:13" ht="50.25" customHeight="1" x14ac:dyDescent="0.2">
      <c r="B192" s="64">
        <v>43545</v>
      </c>
      <c r="C192" s="77" t="s">
        <v>542</v>
      </c>
      <c r="D192" s="78"/>
      <c r="E192" s="3"/>
      <c r="F192" s="16"/>
      <c r="G192" s="574" t="s">
        <v>543</v>
      </c>
      <c r="H192" s="575"/>
      <c r="I192" s="576"/>
      <c r="J192" s="12"/>
      <c r="K192" s="61">
        <v>1040</v>
      </c>
      <c r="L192" s="63">
        <f t="shared" si="8"/>
        <v>55744.599999999991</v>
      </c>
      <c r="M192" s="25"/>
    </row>
    <row r="193" spans="2:13" ht="48.75" customHeight="1" x14ac:dyDescent="0.2">
      <c r="B193" s="64"/>
      <c r="C193" s="78"/>
      <c r="D193" s="78"/>
      <c r="E193" s="3"/>
      <c r="F193" s="16"/>
      <c r="G193" s="574" t="s">
        <v>544</v>
      </c>
      <c r="H193" s="575"/>
      <c r="I193" s="576"/>
      <c r="J193" s="12"/>
      <c r="K193" s="61">
        <v>1040</v>
      </c>
      <c r="L193" s="63">
        <f t="shared" si="8"/>
        <v>54704.599999999991</v>
      </c>
      <c r="M193" s="25"/>
    </row>
    <row r="194" spans="2:13" ht="43.5" customHeight="1" x14ac:dyDescent="0.2">
      <c r="B194" s="64"/>
      <c r="C194" s="78"/>
      <c r="D194" s="78"/>
      <c r="E194" s="3"/>
      <c r="F194" s="16"/>
      <c r="G194" s="574" t="s">
        <v>545</v>
      </c>
      <c r="H194" s="575"/>
      <c r="I194" s="576"/>
      <c r="J194" s="12"/>
      <c r="K194" s="61">
        <v>1040</v>
      </c>
      <c r="L194" s="63">
        <f t="shared" si="8"/>
        <v>53664.599999999991</v>
      </c>
      <c r="M194" s="25"/>
    </row>
    <row r="195" spans="2:13" ht="48" customHeight="1" x14ac:dyDescent="0.2">
      <c r="B195" s="64">
        <v>43546</v>
      </c>
      <c r="C195" s="78" t="s">
        <v>546</v>
      </c>
      <c r="D195" s="78"/>
      <c r="E195" s="3"/>
      <c r="F195" s="16"/>
      <c r="G195" s="574" t="s">
        <v>547</v>
      </c>
      <c r="H195" s="575"/>
      <c r="I195" s="576"/>
      <c r="J195" s="12"/>
      <c r="K195" s="61">
        <v>1040</v>
      </c>
      <c r="L195" s="63">
        <f t="shared" si="8"/>
        <v>52624.599999999991</v>
      </c>
      <c r="M195" s="25"/>
    </row>
    <row r="196" spans="2:13" ht="51" customHeight="1" x14ac:dyDescent="0.2">
      <c r="B196" s="64"/>
      <c r="C196" s="78"/>
      <c r="D196" s="78"/>
      <c r="E196" s="3"/>
      <c r="F196" s="16"/>
      <c r="G196" s="574" t="s">
        <v>548</v>
      </c>
      <c r="H196" s="575"/>
      <c r="I196" s="576"/>
      <c r="J196" s="12"/>
      <c r="K196" s="61">
        <v>1040</v>
      </c>
      <c r="L196" s="63">
        <f t="shared" si="8"/>
        <v>51584.599999999991</v>
      </c>
      <c r="M196" s="25"/>
    </row>
    <row r="197" spans="2:13" ht="48" customHeight="1" x14ac:dyDescent="0.2">
      <c r="B197" s="64">
        <v>43546</v>
      </c>
      <c r="C197" s="78" t="s">
        <v>549</v>
      </c>
      <c r="D197" s="78"/>
      <c r="E197" s="3"/>
      <c r="F197" s="16"/>
      <c r="G197" s="574" t="s">
        <v>551</v>
      </c>
      <c r="H197" s="575"/>
      <c r="I197" s="576"/>
      <c r="J197" s="12"/>
      <c r="K197" s="61">
        <v>600</v>
      </c>
      <c r="L197" s="63">
        <f t="shared" si="8"/>
        <v>50984.599999999991</v>
      </c>
      <c r="M197" s="25"/>
    </row>
    <row r="198" spans="2:13" ht="48" customHeight="1" x14ac:dyDescent="0.2">
      <c r="B198" s="64">
        <v>43546</v>
      </c>
      <c r="C198" s="78" t="s">
        <v>550</v>
      </c>
      <c r="D198" s="78"/>
      <c r="E198" s="3"/>
      <c r="F198" s="16"/>
      <c r="G198" s="574" t="s">
        <v>581</v>
      </c>
      <c r="H198" s="575"/>
      <c r="I198" s="576"/>
      <c r="J198" s="12"/>
      <c r="K198" s="61">
        <v>600</v>
      </c>
      <c r="L198" s="63">
        <f t="shared" si="8"/>
        <v>50384.599999999991</v>
      </c>
      <c r="M198" s="25"/>
    </row>
    <row r="199" spans="2:13" ht="48" customHeight="1" x14ac:dyDescent="0.2">
      <c r="B199" s="64">
        <v>43546</v>
      </c>
      <c r="C199" s="78" t="s">
        <v>552</v>
      </c>
      <c r="D199" s="78"/>
      <c r="E199" s="3"/>
      <c r="F199" s="16"/>
      <c r="G199" s="574" t="s">
        <v>553</v>
      </c>
      <c r="H199" s="575"/>
      <c r="I199" s="576"/>
      <c r="J199" s="12"/>
      <c r="K199" s="61">
        <v>600</v>
      </c>
      <c r="L199" s="63">
        <f t="shared" si="8"/>
        <v>49784.599999999991</v>
      </c>
      <c r="M199" s="25"/>
    </row>
    <row r="200" spans="2:13" ht="48" customHeight="1" x14ac:dyDescent="0.2">
      <c r="B200" s="64">
        <v>43546</v>
      </c>
      <c r="C200" s="78" t="s">
        <v>554</v>
      </c>
      <c r="D200" s="78"/>
      <c r="E200" s="3"/>
      <c r="F200" s="16"/>
      <c r="G200" s="574" t="s">
        <v>555</v>
      </c>
      <c r="H200" s="575"/>
      <c r="I200" s="576"/>
      <c r="J200" s="12"/>
      <c r="K200" s="61">
        <v>1040</v>
      </c>
      <c r="L200" s="63">
        <f t="shared" si="8"/>
        <v>48744.599999999991</v>
      </c>
      <c r="M200" s="25"/>
    </row>
    <row r="201" spans="2:13" ht="51" customHeight="1" x14ac:dyDescent="0.2">
      <c r="B201" s="64"/>
      <c r="C201" s="78"/>
      <c r="D201" s="78"/>
      <c r="E201" s="3"/>
      <c r="F201" s="16"/>
      <c r="G201" s="574" t="s">
        <v>556</v>
      </c>
      <c r="H201" s="575"/>
      <c r="I201" s="576"/>
      <c r="J201" s="12"/>
      <c r="K201" s="61">
        <v>1040</v>
      </c>
      <c r="L201" s="63">
        <f t="shared" si="8"/>
        <v>47704.599999999991</v>
      </c>
      <c r="M201" s="25"/>
    </row>
    <row r="202" spans="2:13" ht="48" customHeight="1" x14ac:dyDescent="0.2">
      <c r="B202" s="64">
        <v>43546</v>
      </c>
      <c r="C202" s="78" t="s">
        <v>557</v>
      </c>
      <c r="D202" s="78"/>
      <c r="E202" s="3"/>
      <c r="F202" s="16"/>
      <c r="G202" s="574" t="s">
        <v>582</v>
      </c>
      <c r="H202" s="575"/>
      <c r="I202" s="576"/>
      <c r="J202" s="12"/>
      <c r="K202" s="61">
        <v>1040</v>
      </c>
      <c r="L202" s="63">
        <f t="shared" si="8"/>
        <v>46664.599999999991</v>
      </c>
      <c r="M202" s="25"/>
    </row>
    <row r="203" spans="2:13" ht="51" customHeight="1" x14ac:dyDescent="0.2">
      <c r="B203" s="64"/>
      <c r="C203" s="78"/>
      <c r="D203" s="78"/>
      <c r="E203" s="3"/>
      <c r="F203" s="16"/>
      <c r="G203" s="574" t="s">
        <v>583</v>
      </c>
      <c r="H203" s="575"/>
      <c r="I203" s="576"/>
      <c r="J203" s="12"/>
      <c r="K203" s="61">
        <v>1040</v>
      </c>
      <c r="L203" s="63">
        <f t="shared" si="8"/>
        <v>45624.599999999991</v>
      </c>
      <c r="M203" s="25"/>
    </row>
    <row r="204" spans="2:13" ht="48" customHeight="1" x14ac:dyDescent="0.2">
      <c r="B204" s="64">
        <v>43546</v>
      </c>
      <c r="C204" s="78" t="s">
        <v>552</v>
      </c>
      <c r="D204" s="78"/>
      <c r="E204" s="3"/>
      <c r="F204" s="16"/>
      <c r="G204" s="574" t="s">
        <v>558</v>
      </c>
      <c r="H204" s="575"/>
      <c r="I204" s="576"/>
      <c r="J204" s="12"/>
      <c r="K204" s="61">
        <v>1040</v>
      </c>
      <c r="L204" s="63">
        <f t="shared" si="8"/>
        <v>44584.599999999991</v>
      </c>
      <c r="M204" s="25"/>
    </row>
    <row r="205" spans="2:13" ht="32.25" customHeight="1" x14ac:dyDescent="0.2">
      <c r="B205" s="64">
        <v>43550</v>
      </c>
      <c r="C205" s="65" t="s">
        <v>559</v>
      </c>
      <c r="D205" s="65"/>
      <c r="E205" s="13"/>
      <c r="F205" s="68"/>
      <c r="G205" s="571" t="s">
        <v>560</v>
      </c>
      <c r="H205" s="572"/>
      <c r="I205" s="573"/>
      <c r="J205" s="12"/>
      <c r="K205" s="12"/>
      <c r="L205" s="63">
        <f t="shared" si="8"/>
        <v>44584.599999999991</v>
      </c>
      <c r="M205" s="25"/>
    </row>
    <row r="206" spans="2:13" x14ac:dyDescent="0.2">
      <c r="B206" s="64"/>
      <c r="C206" s="65"/>
      <c r="D206" s="65"/>
      <c r="E206" s="13"/>
      <c r="F206" s="68"/>
      <c r="G206" s="81"/>
      <c r="H206" s="568" t="s">
        <v>561</v>
      </c>
      <c r="I206" s="570"/>
      <c r="J206" s="12"/>
      <c r="K206" s="12">
        <v>1700</v>
      </c>
      <c r="L206" s="63">
        <f t="shared" si="8"/>
        <v>42884.599999999991</v>
      </c>
      <c r="M206" s="25"/>
    </row>
    <row r="207" spans="2:13" x14ac:dyDescent="0.2">
      <c r="B207" s="64"/>
      <c r="C207" s="65"/>
      <c r="D207" s="65"/>
      <c r="E207" s="13"/>
      <c r="F207" s="13"/>
      <c r="G207" s="81"/>
      <c r="H207" s="568" t="s">
        <v>478</v>
      </c>
      <c r="I207" s="570"/>
      <c r="J207" s="12"/>
      <c r="K207" s="12">
        <v>950</v>
      </c>
      <c r="L207" s="63">
        <f t="shared" si="8"/>
        <v>41934.599999999991</v>
      </c>
      <c r="M207" s="25"/>
    </row>
    <row r="208" spans="2:13" x14ac:dyDescent="0.2">
      <c r="B208" s="64"/>
      <c r="C208" s="65"/>
      <c r="D208" s="65"/>
      <c r="E208" s="13"/>
      <c r="F208" s="13"/>
      <c r="G208" s="69"/>
      <c r="H208" s="568" t="s">
        <v>532</v>
      </c>
      <c r="I208" s="570"/>
      <c r="J208" s="12"/>
      <c r="K208" s="12">
        <v>850</v>
      </c>
      <c r="L208" s="63">
        <f t="shared" si="8"/>
        <v>41084.599999999991</v>
      </c>
      <c r="M208" s="25"/>
    </row>
    <row r="209" spans="2:13" ht="50.25" customHeight="1" x14ac:dyDescent="0.2">
      <c r="B209" s="64">
        <v>43551</v>
      </c>
      <c r="C209" s="65" t="s">
        <v>562</v>
      </c>
      <c r="D209" s="65"/>
      <c r="E209" s="13"/>
      <c r="F209" s="13"/>
      <c r="G209" s="574" t="s">
        <v>563</v>
      </c>
      <c r="H209" s="575"/>
      <c r="I209" s="576"/>
      <c r="J209" s="12"/>
      <c r="K209" s="61">
        <v>1040</v>
      </c>
      <c r="L209" s="63">
        <f t="shared" si="8"/>
        <v>40044.599999999991</v>
      </c>
      <c r="M209" s="25"/>
    </row>
    <row r="210" spans="2:13" ht="56.25" customHeight="1" x14ac:dyDescent="0.2">
      <c r="B210" s="64">
        <v>43551</v>
      </c>
      <c r="C210" s="65" t="s">
        <v>564</v>
      </c>
      <c r="D210" s="65"/>
      <c r="E210" s="13"/>
      <c r="F210" s="13"/>
      <c r="G210" s="574" t="s">
        <v>565</v>
      </c>
      <c r="H210" s="575"/>
      <c r="I210" s="576"/>
      <c r="J210" s="12"/>
      <c r="K210" s="61">
        <v>800</v>
      </c>
      <c r="L210" s="63">
        <f t="shared" si="8"/>
        <v>39244.599999999991</v>
      </c>
      <c r="M210" s="25"/>
    </row>
    <row r="211" spans="2:13" ht="49.5" customHeight="1" x14ac:dyDescent="0.2">
      <c r="B211" s="64">
        <v>43551</v>
      </c>
      <c r="C211" s="65" t="s">
        <v>566</v>
      </c>
      <c r="D211" s="65"/>
      <c r="E211" s="13"/>
      <c r="F211" s="13"/>
      <c r="G211" s="574" t="s">
        <v>567</v>
      </c>
      <c r="H211" s="575"/>
      <c r="I211" s="576"/>
      <c r="J211" s="12"/>
      <c r="K211" s="12">
        <v>400</v>
      </c>
      <c r="L211" s="63">
        <f t="shared" ref="L211:L217" si="9">+J211-K211+L210</f>
        <v>38844.599999999991</v>
      </c>
      <c r="M211" s="25"/>
    </row>
    <row r="212" spans="2:13" ht="31.5" customHeight="1" x14ac:dyDescent="0.2">
      <c r="B212" s="64">
        <v>43551</v>
      </c>
      <c r="C212" s="65" t="s">
        <v>568</v>
      </c>
      <c r="D212" s="65"/>
      <c r="E212" s="13"/>
      <c r="F212" s="13"/>
      <c r="G212" s="571" t="s">
        <v>580</v>
      </c>
      <c r="H212" s="572"/>
      <c r="I212" s="573"/>
      <c r="J212" s="12"/>
      <c r="K212" s="12">
        <v>350</v>
      </c>
      <c r="L212" s="63">
        <f t="shared" si="9"/>
        <v>38494.599999999991</v>
      </c>
      <c r="M212" s="25"/>
    </row>
    <row r="213" spans="2:13" ht="25.5" customHeight="1" x14ac:dyDescent="0.2">
      <c r="B213" s="64">
        <v>43524</v>
      </c>
      <c r="C213" s="77" t="s">
        <v>584</v>
      </c>
      <c r="D213" s="65"/>
      <c r="E213" s="13"/>
      <c r="F213" s="13"/>
      <c r="G213" s="574" t="s">
        <v>585</v>
      </c>
      <c r="H213" s="575"/>
      <c r="I213" s="576"/>
      <c r="J213" s="12"/>
      <c r="K213" s="12">
        <v>1040</v>
      </c>
      <c r="L213" s="63">
        <f t="shared" si="9"/>
        <v>37454.599999999991</v>
      </c>
      <c r="M213" s="25"/>
    </row>
    <row r="214" spans="2:13" ht="36.75" customHeight="1" x14ac:dyDescent="0.2">
      <c r="B214" s="64"/>
      <c r="C214" s="65"/>
      <c r="D214" s="65"/>
      <c r="E214" s="13"/>
      <c r="F214" s="13"/>
      <c r="G214" s="574" t="s">
        <v>585</v>
      </c>
      <c r="H214" s="575"/>
      <c r="I214" s="576"/>
      <c r="J214" s="12"/>
      <c r="K214" s="12">
        <v>1040</v>
      </c>
      <c r="L214" s="63">
        <f t="shared" si="9"/>
        <v>36414.599999999991</v>
      </c>
      <c r="M214" s="25"/>
    </row>
    <row r="215" spans="2:13" x14ac:dyDescent="0.2">
      <c r="B215" s="64"/>
      <c r="C215" s="65"/>
      <c r="D215" s="65"/>
      <c r="E215" s="13"/>
      <c r="F215" s="13"/>
      <c r="G215" s="69"/>
      <c r="H215" s="398"/>
      <c r="I215" s="399"/>
      <c r="J215" s="12"/>
      <c r="K215" s="12"/>
      <c r="L215" s="63">
        <f t="shared" si="9"/>
        <v>36414.599999999991</v>
      </c>
      <c r="M215" s="25"/>
    </row>
    <row r="216" spans="2:13" x14ac:dyDescent="0.2">
      <c r="B216" s="64"/>
      <c r="C216" s="65"/>
      <c r="D216" s="65"/>
      <c r="E216" s="13"/>
      <c r="F216" s="13"/>
      <c r="G216" s="81"/>
      <c r="H216" s="62"/>
      <c r="I216" s="12"/>
      <c r="J216" s="12"/>
      <c r="K216" s="12"/>
      <c r="L216" s="63">
        <f t="shared" si="9"/>
        <v>36414.599999999991</v>
      </c>
      <c r="M216" s="25"/>
    </row>
    <row r="217" spans="2:13" x14ac:dyDescent="0.2">
      <c r="B217" s="64"/>
      <c r="C217" s="65"/>
      <c r="D217" s="65"/>
      <c r="E217" s="3"/>
      <c r="F217" s="13"/>
      <c r="G217" s="81"/>
      <c r="H217" s="62"/>
      <c r="I217" s="12"/>
      <c r="J217" s="12"/>
      <c r="K217" s="12"/>
      <c r="L217" s="63">
        <f t="shared" si="9"/>
        <v>36414.599999999991</v>
      </c>
      <c r="M217" s="25"/>
    </row>
    <row r="218" spans="2:13" ht="12.75" thickBot="1" x14ac:dyDescent="0.25">
      <c r="B218" s="64"/>
      <c r="C218" s="65"/>
      <c r="D218" s="65"/>
      <c r="E218" s="13"/>
      <c r="F218" s="13"/>
      <c r="G218" s="104"/>
      <c r="H218" s="84"/>
      <c r="I218" s="12"/>
      <c r="J218" s="12"/>
      <c r="K218" s="12"/>
      <c r="L218" s="63"/>
      <c r="M218" s="25"/>
    </row>
    <row r="219" spans="2:13" x14ac:dyDescent="0.2">
      <c r="B219" s="56"/>
      <c r="C219" s="57"/>
      <c r="D219" s="57"/>
      <c r="E219" s="5"/>
      <c r="F219" s="5"/>
      <c r="G219" s="85" t="s">
        <v>26</v>
      </c>
      <c r="H219" s="107">
        <f>SUM(H143:H185)</f>
        <v>22221</v>
      </c>
      <c r="I219" s="105">
        <f>SUM(I143:I184)</f>
        <v>7110.7199999999984</v>
      </c>
      <c r="J219" s="106">
        <f>SUM(J143:J184)</f>
        <v>15110.280000000002</v>
      </c>
      <c r="K219" s="106">
        <f>SUM(K190:K217)</f>
        <v>22450</v>
      </c>
      <c r="L219" s="108"/>
      <c r="M219" s="25"/>
    </row>
    <row r="220" spans="2:13" ht="12.75" thickBot="1" x14ac:dyDescent="0.25">
      <c r="B220" s="71"/>
      <c r="C220" s="72"/>
      <c r="D220" s="72"/>
      <c r="E220" s="73"/>
      <c r="F220" s="73"/>
      <c r="G220" s="86" t="s">
        <v>13</v>
      </c>
      <c r="H220" s="100"/>
      <c r="I220" s="99"/>
      <c r="J220" s="87"/>
      <c r="K220" s="87"/>
      <c r="L220" s="88">
        <f>+J219-K219+L142</f>
        <v>36414.600000000006</v>
      </c>
      <c r="M220" s="25"/>
    </row>
    <row r="221" spans="2:13" x14ac:dyDescent="0.2">
      <c r="B221" s="25"/>
      <c r="H221" s="74"/>
      <c r="I221" s="25"/>
      <c r="L221" s="25"/>
      <c r="M221" s="25"/>
    </row>
    <row r="222" spans="2:13" x14ac:dyDescent="0.2">
      <c r="B222" s="544" t="s">
        <v>48</v>
      </c>
      <c r="C222" s="545"/>
      <c r="D222" s="545"/>
      <c r="E222" s="545"/>
      <c r="F222" s="545"/>
      <c r="G222" s="545"/>
      <c r="H222" s="545"/>
      <c r="I222" s="545"/>
      <c r="J222" s="545"/>
      <c r="K222" s="545"/>
      <c r="L222" s="546"/>
      <c r="M222" s="25"/>
    </row>
    <row r="223" spans="2:13" x14ac:dyDescent="0.2">
      <c r="B223" s="547" t="s">
        <v>574</v>
      </c>
      <c r="C223" s="548"/>
      <c r="D223" s="548"/>
      <c r="E223" s="548"/>
      <c r="F223" s="548"/>
      <c r="G223" s="548"/>
      <c r="H223" s="548"/>
      <c r="I223" s="548"/>
      <c r="J223" s="548"/>
      <c r="K223" s="548"/>
      <c r="L223" s="549"/>
      <c r="M223" s="25"/>
    </row>
    <row r="224" spans="2:13" x14ac:dyDescent="0.2">
      <c r="B224" s="550" t="s">
        <v>50</v>
      </c>
      <c r="C224" s="550"/>
      <c r="D224" s="551" t="s">
        <v>51</v>
      </c>
      <c r="E224" s="551"/>
      <c r="F224" s="551"/>
      <c r="G224" s="400"/>
      <c r="H224" s="400"/>
      <c r="I224" s="400"/>
      <c r="J224" s="400"/>
      <c r="K224" s="400"/>
      <c r="L224" s="401"/>
      <c r="M224" s="25"/>
    </row>
    <row r="225" spans="2:13" ht="24" x14ac:dyDescent="0.2">
      <c r="B225" s="56" t="s">
        <v>1</v>
      </c>
      <c r="C225" s="57" t="s">
        <v>2</v>
      </c>
      <c r="D225" s="57" t="s">
        <v>2</v>
      </c>
      <c r="E225" s="5" t="s">
        <v>3</v>
      </c>
      <c r="F225" s="5" t="s">
        <v>4</v>
      </c>
      <c r="G225" s="89" t="s">
        <v>6</v>
      </c>
      <c r="H225" s="83" t="s">
        <v>7</v>
      </c>
      <c r="I225" s="83" t="s">
        <v>52</v>
      </c>
      <c r="J225" s="83" t="s">
        <v>53</v>
      </c>
      <c r="K225" s="5" t="s">
        <v>10</v>
      </c>
      <c r="L225" s="5" t="s">
        <v>11</v>
      </c>
      <c r="M225" s="25"/>
    </row>
    <row r="226" spans="2:13" x14ac:dyDescent="0.2">
      <c r="B226" s="58"/>
      <c r="C226" s="59"/>
      <c r="D226" s="59"/>
      <c r="E226" s="13"/>
      <c r="F226" s="13"/>
      <c r="G226" s="24"/>
      <c r="H226" s="60"/>
      <c r="I226" s="61"/>
      <c r="J226" s="61"/>
      <c r="K226" s="61"/>
      <c r="L226" s="60">
        <f>L220</f>
        <v>36414.600000000006</v>
      </c>
      <c r="M226" s="25"/>
    </row>
    <row r="227" spans="2:13" x14ac:dyDescent="0.2">
      <c r="B227" s="110">
        <v>43556</v>
      </c>
      <c r="C227" s="353" t="s">
        <v>572</v>
      </c>
      <c r="D227" s="11"/>
      <c r="E227" s="15"/>
      <c r="F227" s="15" t="s">
        <v>573</v>
      </c>
      <c r="G227" s="15"/>
      <c r="H227" s="112">
        <v>308</v>
      </c>
      <c r="I227" s="12">
        <f>H227*0.32</f>
        <v>98.56</v>
      </c>
      <c r="J227" s="12">
        <f>H227*0.68</f>
        <v>209.44000000000003</v>
      </c>
      <c r="K227" s="12"/>
      <c r="L227" s="63">
        <f>+J227-K227+L226</f>
        <v>36624.040000000008</v>
      </c>
      <c r="M227" s="25"/>
    </row>
    <row r="228" spans="2:13" x14ac:dyDescent="0.2">
      <c r="B228" s="110">
        <v>43557</v>
      </c>
      <c r="C228" s="353" t="s">
        <v>572</v>
      </c>
      <c r="D228" s="11"/>
      <c r="E228" s="15"/>
      <c r="F228" s="15" t="s">
        <v>573</v>
      </c>
      <c r="G228" s="15"/>
      <c r="H228" s="112">
        <v>288</v>
      </c>
      <c r="I228" s="12">
        <f t="shared" ref="I228:I271" si="10">H228*0.32</f>
        <v>92.16</v>
      </c>
      <c r="J228" s="12">
        <f t="shared" ref="J228:J271" si="11">H228*0.68</f>
        <v>195.84</v>
      </c>
      <c r="K228" s="12"/>
      <c r="L228" s="63">
        <f>+J228-K228+L227</f>
        <v>36819.880000000005</v>
      </c>
      <c r="M228" s="25"/>
    </row>
    <row r="229" spans="2:13" x14ac:dyDescent="0.2">
      <c r="B229" s="110">
        <v>43558</v>
      </c>
      <c r="C229" s="353" t="s">
        <v>572</v>
      </c>
      <c r="D229" s="11"/>
      <c r="E229" s="15"/>
      <c r="F229" s="15" t="s">
        <v>573</v>
      </c>
      <c r="G229" s="15"/>
      <c r="H229" s="112">
        <v>1036</v>
      </c>
      <c r="I229" s="12">
        <f t="shared" si="10"/>
        <v>331.52</v>
      </c>
      <c r="J229" s="12">
        <f t="shared" si="11"/>
        <v>704.48</v>
      </c>
      <c r="K229" s="12"/>
      <c r="L229" s="63">
        <f>+J229-K229+L228</f>
        <v>37524.360000000008</v>
      </c>
      <c r="M229" s="25"/>
    </row>
    <row r="230" spans="2:13" x14ac:dyDescent="0.2">
      <c r="B230" s="110">
        <v>43559</v>
      </c>
      <c r="C230" s="353" t="s">
        <v>572</v>
      </c>
      <c r="D230" s="77"/>
      <c r="E230" s="15"/>
      <c r="F230" s="15" t="s">
        <v>573</v>
      </c>
      <c r="G230" s="66"/>
      <c r="H230" s="112">
        <f>1337-105</f>
        <v>1232</v>
      </c>
      <c r="I230" s="12">
        <f t="shared" si="10"/>
        <v>394.24</v>
      </c>
      <c r="J230" s="12">
        <f t="shared" si="11"/>
        <v>837.7600000000001</v>
      </c>
      <c r="K230" s="12"/>
      <c r="L230" s="63">
        <f>+J230-K230+L229</f>
        <v>38362.12000000001</v>
      </c>
      <c r="M230" s="25"/>
    </row>
    <row r="231" spans="2:13" x14ac:dyDescent="0.2">
      <c r="B231" s="110">
        <v>43560</v>
      </c>
      <c r="C231" s="353" t="s">
        <v>572</v>
      </c>
      <c r="D231" s="11"/>
      <c r="E231" s="15"/>
      <c r="F231" s="15" t="s">
        <v>573</v>
      </c>
      <c r="G231" s="15"/>
      <c r="H231" s="112">
        <v>1232</v>
      </c>
      <c r="I231" s="12">
        <f t="shared" si="10"/>
        <v>394.24</v>
      </c>
      <c r="J231" s="12">
        <f t="shared" si="11"/>
        <v>837.7600000000001</v>
      </c>
      <c r="K231" s="12"/>
      <c r="L231" s="63">
        <f t="shared" ref="L231:L292" si="12">+J231-K231+L230</f>
        <v>39199.880000000012</v>
      </c>
      <c r="M231" s="25"/>
    </row>
    <row r="232" spans="2:13" x14ac:dyDescent="0.2">
      <c r="B232" s="110">
        <v>43561</v>
      </c>
      <c r="C232" s="353" t="s">
        <v>572</v>
      </c>
      <c r="D232" s="11"/>
      <c r="E232" s="15"/>
      <c r="F232" s="15" t="s">
        <v>573</v>
      </c>
      <c r="G232" s="15"/>
      <c r="H232" s="112">
        <v>308</v>
      </c>
      <c r="I232" s="12">
        <f t="shared" si="10"/>
        <v>98.56</v>
      </c>
      <c r="J232" s="12">
        <f t="shared" si="11"/>
        <v>209.44000000000003</v>
      </c>
      <c r="K232" s="12"/>
      <c r="L232" s="63">
        <f t="shared" si="12"/>
        <v>39409.320000000014</v>
      </c>
      <c r="M232" s="25"/>
    </row>
    <row r="233" spans="2:13" x14ac:dyDescent="0.2">
      <c r="B233" s="110">
        <v>43563</v>
      </c>
      <c r="C233" s="353" t="s">
        <v>572</v>
      </c>
      <c r="D233" s="11"/>
      <c r="E233" s="15"/>
      <c r="F233" s="15" t="s">
        <v>573</v>
      </c>
      <c r="G233" s="15"/>
      <c r="H233" s="112">
        <v>656</v>
      </c>
      <c r="I233" s="12">
        <f t="shared" si="10"/>
        <v>209.92000000000002</v>
      </c>
      <c r="J233" s="12">
        <f t="shared" si="11"/>
        <v>446.08000000000004</v>
      </c>
      <c r="K233" s="12"/>
      <c r="L233" s="63">
        <f t="shared" si="12"/>
        <v>39855.400000000016</v>
      </c>
      <c r="M233" s="25"/>
    </row>
    <row r="234" spans="2:13" x14ac:dyDescent="0.2">
      <c r="B234" s="110">
        <v>43564</v>
      </c>
      <c r="C234" s="353" t="s">
        <v>572</v>
      </c>
      <c r="D234" s="11"/>
      <c r="E234" s="15"/>
      <c r="F234" s="15" t="s">
        <v>573</v>
      </c>
      <c r="G234" s="15"/>
      <c r="H234" s="112">
        <f>1521-75</f>
        <v>1446</v>
      </c>
      <c r="I234" s="12">
        <f t="shared" si="10"/>
        <v>462.72</v>
      </c>
      <c r="J234" s="12">
        <f t="shared" si="11"/>
        <v>983.28000000000009</v>
      </c>
      <c r="K234" s="12"/>
      <c r="L234" s="63">
        <f t="shared" si="12"/>
        <v>40838.680000000015</v>
      </c>
      <c r="M234" s="25"/>
    </row>
    <row r="235" spans="2:13" x14ac:dyDescent="0.2">
      <c r="B235" s="110">
        <v>43565</v>
      </c>
      <c r="C235" s="353" t="s">
        <v>572</v>
      </c>
      <c r="D235" s="11"/>
      <c r="E235" s="15"/>
      <c r="F235" s="15" t="s">
        <v>573</v>
      </c>
      <c r="G235" s="15"/>
      <c r="H235" s="112">
        <v>492</v>
      </c>
      <c r="I235" s="12">
        <f t="shared" si="10"/>
        <v>157.44</v>
      </c>
      <c r="J235" s="12">
        <f t="shared" si="11"/>
        <v>334.56</v>
      </c>
      <c r="K235" s="12"/>
      <c r="L235" s="63">
        <f t="shared" si="12"/>
        <v>41173.240000000013</v>
      </c>
      <c r="M235" s="25"/>
    </row>
    <row r="236" spans="2:13" x14ac:dyDescent="0.2">
      <c r="B236" s="110">
        <v>43566</v>
      </c>
      <c r="C236" s="353" t="s">
        <v>572</v>
      </c>
      <c r="D236" s="11"/>
      <c r="E236" s="15"/>
      <c r="F236" s="15" t="s">
        <v>573</v>
      </c>
      <c r="G236" s="15"/>
      <c r="H236" s="112">
        <f>5249-225</f>
        <v>5024</v>
      </c>
      <c r="I236" s="12">
        <f t="shared" si="10"/>
        <v>1607.68</v>
      </c>
      <c r="J236" s="12">
        <f t="shared" si="11"/>
        <v>3416.32</v>
      </c>
      <c r="K236" s="12"/>
      <c r="L236" s="63">
        <f t="shared" si="12"/>
        <v>44589.560000000012</v>
      </c>
      <c r="M236" s="25"/>
    </row>
    <row r="237" spans="2:13" x14ac:dyDescent="0.2">
      <c r="B237" s="110">
        <v>43567</v>
      </c>
      <c r="C237" s="353" t="s">
        <v>572</v>
      </c>
      <c r="D237" s="11"/>
      <c r="E237" s="15"/>
      <c r="F237" s="15" t="s">
        <v>573</v>
      </c>
      <c r="G237" s="15"/>
      <c r="H237" s="112">
        <f>1058-120</f>
        <v>938</v>
      </c>
      <c r="I237" s="12">
        <f t="shared" si="10"/>
        <v>300.16000000000003</v>
      </c>
      <c r="J237" s="12">
        <f t="shared" si="11"/>
        <v>637.84</v>
      </c>
      <c r="K237" s="12"/>
      <c r="L237" s="63">
        <f t="shared" si="12"/>
        <v>45227.400000000009</v>
      </c>
      <c r="M237" s="25"/>
    </row>
    <row r="238" spans="2:13" x14ac:dyDescent="0.2">
      <c r="B238" s="110">
        <v>43570</v>
      </c>
      <c r="C238" s="353" t="s">
        <v>591</v>
      </c>
      <c r="D238" s="11"/>
      <c r="E238" s="15"/>
      <c r="F238" s="15" t="s">
        <v>190</v>
      </c>
      <c r="G238" s="15"/>
      <c r="H238" s="112">
        <v>472</v>
      </c>
      <c r="I238" s="12">
        <f t="shared" si="10"/>
        <v>151.04</v>
      </c>
      <c r="J238" s="12">
        <f t="shared" si="11"/>
        <v>320.96000000000004</v>
      </c>
      <c r="K238" s="12"/>
      <c r="L238" s="63">
        <f t="shared" si="12"/>
        <v>45548.360000000008</v>
      </c>
      <c r="M238" s="25"/>
    </row>
    <row r="239" spans="2:13" x14ac:dyDescent="0.2">
      <c r="B239" s="110">
        <v>43571</v>
      </c>
      <c r="C239" s="353" t="s">
        <v>591</v>
      </c>
      <c r="D239" s="11"/>
      <c r="E239" s="15"/>
      <c r="F239" s="15" t="s">
        <v>190</v>
      </c>
      <c r="G239" s="15"/>
      <c r="H239" s="112">
        <v>164</v>
      </c>
      <c r="I239" s="12">
        <f t="shared" si="10"/>
        <v>52.480000000000004</v>
      </c>
      <c r="J239" s="12">
        <f t="shared" si="11"/>
        <v>111.52000000000001</v>
      </c>
      <c r="K239" s="12"/>
      <c r="L239" s="63">
        <f t="shared" si="12"/>
        <v>45659.880000000005</v>
      </c>
      <c r="M239" s="25"/>
    </row>
    <row r="240" spans="2:13" x14ac:dyDescent="0.2">
      <c r="B240" s="110">
        <v>43575</v>
      </c>
      <c r="C240" s="353" t="s">
        <v>591</v>
      </c>
      <c r="D240" s="11"/>
      <c r="E240" s="15"/>
      <c r="F240" s="15" t="s">
        <v>190</v>
      </c>
      <c r="G240" s="15"/>
      <c r="H240" s="112">
        <v>492</v>
      </c>
      <c r="I240" s="12">
        <f t="shared" si="10"/>
        <v>157.44</v>
      </c>
      <c r="J240" s="12">
        <f t="shared" si="11"/>
        <v>334.56</v>
      </c>
      <c r="K240" s="12"/>
      <c r="L240" s="63">
        <f t="shared" si="12"/>
        <v>45994.44</v>
      </c>
      <c r="M240" s="25"/>
    </row>
    <row r="241" spans="2:13" x14ac:dyDescent="0.2">
      <c r="B241" s="110">
        <v>43577</v>
      </c>
      <c r="C241" s="353" t="s">
        <v>591</v>
      </c>
      <c r="D241" s="77"/>
      <c r="E241" s="13"/>
      <c r="F241" s="15" t="s">
        <v>190</v>
      </c>
      <c r="G241" s="15"/>
      <c r="H241" s="112">
        <f>443-155</f>
        <v>288</v>
      </c>
      <c r="I241" s="12">
        <f t="shared" si="10"/>
        <v>92.16</v>
      </c>
      <c r="J241" s="12">
        <f t="shared" si="11"/>
        <v>195.84</v>
      </c>
      <c r="K241" s="12"/>
      <c r="L241" s="63">
        <f t="shared" si="12"/>
        <v>46190.28</v>
      </c>
      <c r="M241" s="25"/>
    </row>
    <row r="242" spans="2:13" x14ac:dyDescent="0.2">
      <c r="B242" s="110">
        <v>43578</v>
      </c>
      <c r="C242" s="353" t="s">
        <v>591</v>
      </c>
      <c r="D242" s="65"/>
      <c r="E242" s="13"/>
      <c r="F242" s="15" t="s">
        <v>190</v>
      </c>
      <c r="G242" s="66"/>
      <c r="H242" s="112">
        <v>164</v>
      </c>
      <c r="I242" s="12">
        <f t="shared" si="10"/>
        <v>52.480000000000004</v>
      </c>
      <c r="J242" s="12">
        <f t="shared" si="11"/>
        <v>111.52000000000001</v>
      </c>
      <c r="K242" s="12"/>
      <c r="L242" s="63">
        <f t="shared" si="12"/>
        <v>46301.799999999996</v>
      </c>
      <c r="M242" s="25"/>
    </row>
    <row r="243" spans="2:13" x14ac:dyDescent="0.2">
      <c r="B243" s="110">
        <v>43579</v>
      </c>
      <c r="C243" s="353" t="s">
        <v>591</v>
      </c>
      <c r="D243" s="65"/>
      <c r="E243" s="13"/>
      <c r="F243" s="15" t="s">
        <v>190</v>
      </c>
      <c r="G243" s="66"/>
      <c r="H243" s="112">
        <v>1068</v>
      </c>
      <c r="I243" s="12">
        <f t="shared" si="10"/>
        <v>341.76</v>
      </c>
      <c r="J243" s="12">
        <f t="shared" si="11"/>
        <v>726.24</v>
      </c>
      <c r="K243" s="12"/>
      <c r="L243" s="63">
        <f t="shared" si="12"/>
        <v>47028.039999999994</v>
      </c>
      <c r="M243" s="25"/>
    </row>
    <row r="244" spans="2:13" x14ac:dyDescent="0.2">
      <c r="B244" s="110">
        <v>43580</v>
      </c>
      <c r="C244" s="353" t="s">
        <v>591</v>
      </c>
      <c r="D244" s="65"/>
      <c r="E244" s="13"/>
      <c r="F244" s="15" t="s">
        <v>190</v>
      </c>
      <c r="G244" s="66"/>
      <c r="H244" s="112">
        <f>1453-345</f>
        <v>1108</v>
      </c>
      <c r="I244" s="12">
        <f t="shared" si="10"/>
        <v>354.56</v>
      </c>
      <c r="J244" s="12">
        <f t="shared" si="11"/>
        <v>753.44</v>
      </c>
      <c r="K244" s="12"/>
      <c r="L244" s="63">
        <f t="shared" si="12"/>
        <v>47781.479999999996</v>
      </c>
      <c r="M244" s="25"/>
    </row>
    <row r="245" spans="2:13" x14ac:dyDescent="0.2">
      <c r="B245" s="110">
        <v>43581</v>
      </c>
      <c r="C245" s="353" t="s">
        <v>591</v>
      </c>
      <c r="D245" s="65"/>
      <c r="E245" s="13"/>
      <c r="F245" s="15" t="s">
        <v>190</v>
      </c>
      <c r="G245" s="66"/>
      <c r="H245" s="112">
        <f>1290-513</f>
        <v>777</v>
      </c>
      <c r="I245" s="12">
        <f t="shared" si="10"/>
        <v>248.64000000000001</v>
      </c>
      <c r="J245" s="12">
        <f t="shared" si="11"/>
        <v>528.36</v>
      </c>
      <c r="K245" s="12"/>
      <c r="L245" s="63">
        <f t="shared" si="12"/>
        <v>48309.84</v>
      </c>
      <c r="M245" s="25"/>
    </row>
    <row r="246" spans="2:13" x14ac:dyDescent="0.2">
      <c r="B246" s="110">
        <v>43582</v>
      </c>
      <c r="C246" s="353" t="s">
        <v>591</v>
      </c>
      <c r="D246" s="65"/>
      <c r="E246" s="13"/>
      <c r="F246" s="15" t="s">
        <v>190</v>
      </c>
      <c r="G246" s="66"/>
      <c r="H246" s="112">
        <f>616-308</f>
        <v>308</v>
      </c>
      <c r="I246" s="12">
        <f t="shared" si="10"/>
        <v>98.56</v>
      </c>
      <c r="J246" s="12">
        <f t="shared" si="11"/>
        <v>209.44000000000003</v>
      </c>
      <c r="K246" s="12"/>
      <c r="L246" s="63">
        <f t="shared" si="12"/>
        <v>48519.28</v>
      </c>
      <c r="M246" s="25"/>
    </row>
    <row r="247" spans="2:13" x14ac:dyDescent="0.2">
      <c r="B247" s="110">
        <v>43584</v>
      </c>
      <c r="C247" s="353" t="s">
        <v>591</v>
      </c>
      <c r="D247" s="65"/>
      <c r="E247" s="13"/>
      <c r="F247" s="15" t="s">
        <v>190</v>
      </c>
      <c r="G247" s="66"/>
      <c r="H247" s="112">
        <v>896</v>
      </c>
      <c r="I247" s="12">
        <f t="shared" si="10"/>
        <v>286.72000000000003</v>
      </c>
      <c r="J247" s="12">
        <f t="shared" si="11"/>
        <v>609.28000000000009</v>
      </c>
      <c r="K247" s="12"/>
      <c r="L247" s="63">
        <f t="shared" si="12"/>
        <v>49128.56</v>
      </c>
      <c r="M247" s="25"/>
    </row>
    <row r="248" spans="2:13" x14ac:dyDescent="0.2">
      <c r="B248" s="110">
        <v>43585</v>
      </c>
      <c r="C248" s="353" t="s">
        <v>591</v>
      </c>
      <c r="D248" s="65"/>
      <c r="E248" s="13"/>
      <c r="F248" s="15" t="s">
        <v>190</v>
      </c>
      <c r="G248" s="66"/>
      <c r="H248" s="112">
        <f>903-308</f>
        <v>595</v>
      </c>
      <c r="I248" s="12">
        <f t="shared" si="10"/>
        <v>190.4</v>
      </c>
      <c r="J248" s="12">
        <f t="shared" si="11"/>
        <v>404.6</v>
      </c>
      <c r="K248" s="12"/>
      <c r="L248" s="63">
        <f t="shared" si="12"/>
        <v>49533.159999999996</v>
      </c>
      <c r="M248" s="25"/>
    </row>
    <row r="249" spans="2:13" x14ac:dyDescent="0.2">
      <c r="B249" s="110">
        <v>43556</v>
      </c>
      <c r="C249" s="353"/>
      <c r="D249" s="65"/>
      <c r="E249" s="13"/>
      <c r="F249" s="15"/>
      <c r="G249" s="66"/>
      <c r="H249" s="112">
        <f>308+164</f>
        <v>472</v>
      </c>
      <c r="I249" s="12">
        <f t="shared" si="10"/>
        <v>151.04</v>
      </c>
      <c r="J249" s="12">
        <f t="shared" si="11"/>
        <v>320.96000000000004</v>
      </c>
      <c r="K249" s="12"/>
      <c r="L249" s="63"/>
      <c r="M249" s="25"/>
    </row>
    <row r="250" spans="2:13" x14ac:dyDescent="0.2">
      <c r="B250" s="110">
        <v>43557</v>
      </c>
      <c r="C250" s="353"/>
      <c r="D250" s="65"/>
      <c r="E250" s="13"/>
      <c r="F250" s="15"/>
      <c r="G250" s="66"/>
      <c r="H250" s="112">
        <v>194</v>
      </c>
      <c r="I250" s="12">
        <f t="shared" si="10"/>
        <v>62.08</v>
      </c>
      <c r="J250" s="12">
        <f t="shared" si="11"/>
        <v>131.92000000000002</v>
      </c>
      <c r="K250" s="12"/>
      <c r="L250" s="63"/>
      <c r="M250" s="25"/>
    </row>
    <row r="251" spans="2:13" x14ac:dyDescent="0.2">
      <c r="B251" s="110">
        <v>43560</v>
      </c>
      <c r="C251" s="353"/>
      <c r="D251" s="65"/>
      <c r="E251" s="13"/>
      <c r="F251" s="15"/>
      <c r="G251" s="66"/>
      <c r="H251" s="112">
        <v>390</v>
      </c>
      <c r="I251" s="12">
        <f t="shared" si="10"/>
        <v>124.8</v>
      </c>
      <c r="J251" s="12">
        <f t="shared" si="11"/>
        <v>265.20000000000005</v>
      </c>
      <c r="K251" s="12"/>
      <c r="L251" s="63"/>
      <c r="M251" s="25"/>
    </row>
    <row r="252" spans="2:13" x14ac:dyDescent="0.2">
      <c r="B252" s="110">
        <v>43561</v>
      </c>
      <c r="C252" s="353"/>
      <c r="D252" s="65"/>
      <c r="E252" s="13"/>
      <c r="F252" s="15"/>
      <c r="G252" s="66"/>
      <c r="H252" s="112">
        <v>288</v>
      </c>
      <c r="I252" s="12">
        <f t="shared" si="10"/>
        <v>92.16</v>
      </c>
      <c r="J252" s="12">
        <f t="shared" si="11"/>
        <v>195.84</v>
      </c>
      <c r="K252" s="12"/>
      <c r="L252" s="63"/>
      <c r="M252" s="25"/>
    </row>
    <row r="253" spans="2:13" x14ac:dyDescent="0.2">
      <c r="B253" s="110">
        <v>43532</v>
      </c>
      <c r="C253" s="353"/>
      <c r="D253" s="65"/>
      <c r="E253" s="13"/>
      <c r="F253" s="15"/>
      <c r="G253" s="66"/>
      <c r="H253" s="112">
        <v>308</v>
      </c>
      <c r="I253" s="12">
        <f t="shared" si="10"/>
        <v>98.56</v>
      </c>
      <c r="J253" s="12">
        <f t="shared" si="11"/>
        <v>209.44000000000003</v>
      </c>
      <c r="K253" s="12"/>
      <c r="L253" s="63"/>
      <c r="M253" s="25"/>
    </row>
    <row r="254" spans="2:13" x14ac:dyDescent="0.2">
      <c r="B254" s="110">
        <v>43564</v>
      </c>
      <c r="C254" s="353"/>
      <c r="D254" s="65"/>
      <c r="E254" s="13"/>
      <c r="F254" s="15"/>
      <c r="G254" s="66"/>
      <c r="H254" s="112">
        <v>498</v>
      </c>
      <c r="I254" s="12">
        <f t="shared" si="10"/>
        <v>159.36000000000001</v>
      </c>
      <c r="J254" s="12">
        <f t="shared" si="11"/>
        <v>338.64000000000004</v>
      </c>
      <c r="K254" s="12"/>
      <c r="L254" s="63"/>
      <c r="M254" s="25"/>
    </row>
    <row r="255" spans="2:13" x14ac:dyDescent="0.2">
      <c r="B255" s="110">
        <v>43565</v>
      </c>
      <c r="C255" s="353"/>
      <c r="D255" s="65"/>
      <c r="E255" s="13"/>
      <c r="F255" s="15"/>
      <c r="G255" s="66"/>
      <c r="H255" s="112">
        <v>144</v>
      </c>
      <c r="I255" s="12">
        <f t="shared" si="10"/>
        <v>46.08</v>
      </c>
      <c r="J255" s="12">
        <f t="shared" si="11"/>
        <v>97.92</v>
      </c>
      <c r="K255" s="12"/>
      <c r="L255" s="63"/>
      <c r="M255" s="25"/>
    </row>
    <row r="256" spans="2:13" x14ac:dyDescent="0.2">
      <c r="B256" s="110">
        <v>43566</v>
      </c>
      <c r="C256" s="353"/>
      <c r="D256" s="65"/>
      <c r="E256" s="13"/>
      <c r="F256" s="15"/>
      <c r="G256" s="66"/>
      <c r="H256" s="112">
        <v>1292</v>
      </c>
      <c r="I256" s="12">
        <f t="shared" si="10"/>
        <v>413.44</v>
      </c>
      <c r="J256" s="12">
        <f t="shared" si="11"/>
        <v>878.56000000000006</v>
      </c>
      <c r="K256" s="12"/>
      <c r="L256" s="63"/>
      <c r="M256" s="25"/>
    </row>
    <row r="257" spans="2:13" x14ac:dyDescent="0.2">
      <c r="B257" s="110">
        <v>43568</v>
      </c>
      <c r="C257" s="353"/>
      <c r="D257" s="65"/>
      <c r="E257" s="13"/>
      <c r="F257" s="15"/>
      <c r="G257" s="66"/>
      <c r="H257" s="112">
        <v>164</v>
      </c>
      <c r="I257" s="12">
        <f t="shared" si="10"/>
        <v>52.480000000000004</v>
      </c>
      <c r="J257" s="12">
        <f t="shared" si="11"/>
        <v>111.52000000000001</v>
      </c>
      <c r="K257" s="12"/>
      <c r="L257" s="63"/>
      <c r="M257" s="25"/>
    </row>
    <row r="258" spans="2:13" x14ac:dyDescent="0.2">
      <c r="B258" s="110">
        <v>43571</v>
      </c>
      <c r="C258" s="353"/>
      <c r="D258" s="65"/>
      <c r="E258" s="13"/>
      <c r="F258" s="15"/>
      <c r="G258" s="66"/>
      <c r="H258" s="112">
        <v>308</v>
      </c>
      <c r="I258" s="12">
        <f t="shared" si="10"/>
        <v>98.56</v>
      </c>
      <c r="J258" s="12">
        <f t="shared" si="11"/>
        <v>209.44000000000003</v>
      </c>
      <c r="K258" s="12"/>
      <c r="L258" s="63"/>
      <c r="M258" s="25"/>
    </row>
    <row r="259" spans="2:13" x14ac:dyDescent="0.2">
      <c r="B259" s="110">
        <v>43572</v>
      </c>
      <c r="C259" s="353"/>
      <c r="D259" s="65"/>
      <c r="E259" s="13"/>
      <c r="F259" s="15"/>
      <c r="G259" s="66"/>
      <c r="H259" s="112">
        <v>164</v>
      </c>
      <c r="I259" s="12">
        <f t="shared" si="10"/>
        <v>52.480000000000004</v>
      </c>
      <c r="J259" s="12">
        <f t="shared" si="11"/>
        <v>111.52000000000001</v>
      </c>
      <c r="K259" s="12"/>
      <c r="L259" s="63"/>
      <c r="M259" s="25"/>
    </row>
    <row r="260" spans="2:13" x14ac:dyDescent="0.2">
      <c r="B260" s="110">
        <v>43573</v>
      </c>
      <c r="C260" s="353"/>
      <c r="D260" s="65"/>
      <c r="E260" s="13"/>
      <c r="F260" s="15"/>
      <c r="G260" s="66"/>
      <c r="H260" s="112">
        <f>164+636</f>
        <v>800</v>
      </c>
      <c r="I260" s="12">
        <f t="shared" si="10"/>
        <v>256</v>
      </c>
      <c r="J260" s="12">
        <f t="shared" si="11"/>
        <v>544</v>
      </c>
      <c r="K260" s="12"/>
      <c r="L260" s="63"/>
      <c r="M260" s="25"/>
    </row>
    <row r="261" spans="2:13" x14ac:dyDescent="0.2">
      <c r="B261" s="110">
        <v>43575</v>
      </c>
      <c r="C261" s="353"/>
      <c r="D261" s="65"/>
      <c r="E261" s="13"/>
      <c r="F261" s="15"/>
      <c r="G261" s="66"/>
      <c r="H261" s="112">
        <v>924</v>
      </c>
      <c r="I261" s="12">
        <f t="shared" si="10"/>
        <v>295.68</v>
      </c>
      <c r="J261" s="12">
        <f t="shared" si="11"/>
        <v>628.32000000000005</v>
      </c>
      <c r="K261" s="12"/>
      <c r="L261" s="63"/>
      <c r="M261" s="25"/>
    </row>
    <row r="262" spans="2:13" x14ac:dyDescent="0.2">
      <c r="B262" s="110">
        <v>43577</v>
      </c>
      <c r="C262" s="353"/>
      <c r="D262" s="65"/>
      <c r="E262" s="13"/>
      <c r="F262" s="15"/>
      <c r="G262" s="66"/>
      <c r="H262" s="112">
        <v>636</v>
      </c>
      <c r="I262" s="12">
        <f t="shared" si="10"/>
        <v>203.52</v>
      </c>
      <c r="J262" s="12">
        <f t="shared" si="11"/>
        <v>432.48</v>
      </c>
      <c r="K262" s="12"/>
      <c r="L262" s="63"/>
      <c r="M262" s="25"/>
    </row>
    <row r="263" spans="2:13" x14ac:dyDescent="0.2">
      <c r="B263" s="110">
        <v>43578</v>
      </c>
      <c r="C263" s="353"/>
      <c r="D263" s="65"/>
      <c r="E263" s="13"/>
      <c r="F263" s="15"/>
      <c r="G263" s="66"/>
      <c r="H263" s="112">
        <v>472</v>
      </c>
      <c r="I263" s="12">
        <f t="shared" si="10"/>
        <v>151.04</v>
      </c>
      <c r="J263" s="12">
        <f t="shared" si="11"/>
        <v>320.96000000000004</v>
      </c>
      <c r="K263" s="12"/>
      <c r="L263" s="63"/>
      <c r="M263" s="25"/>
    </row>
    <row r="264" spans="2:13" x14ac:dyDescent="0.2">
      <c r="B264" s="110">
        <v>43580</v>
      </c>
      <c r="C264" s="353"/>
      <c r="D264" s="65"/>
      <c r="E264" s="13"/>
      <c r="F264" s="15"/>
      <c r="G264" s="66"/>
      <c r="H264" s="112">
        <v>472</v>
      </c>
      <c r="I264" s="12">
        <f t="shared" si="10"/>
        <v>151.04</v>
      </c>
      <c r="J264" s="12">
        <f t="shared" si="11"/>
        <v>320.96000000000004</v>
      </c>
      <c r="K264" s="12"/>
      <c r="L264" s="63"/>
      <c r="M264" s="25"/>
    </row>
    <row r="265" spans="2:13" x14ac:dyDescent="0.2">
      <c r="B265" s="110">
        <v>43581</v>
      </c>
      <c r="C265" s="353"/>
      <c r="D265" s="65"/>
      <c r="E265" s="13"/>
      <c r="F265" s="15"/>
      <c r="G265" s="66"/>
      <c r="H265" s="112">
        <f>164+288</f>
        <v>452</v>
      </c>
      <c r="I265" s="12">
        <f t="shared" si="10"/>
        <v>144.64000000000001</v>
      </c>
      <c r="J265" s="12">
        <f t="shared" si="11"/>
        <v>307.36</v>
      </c>
      <c r="K265" s="12"/>
      <c r="L265" s="63"/>
      <c r="M265" s="25"/>
    </row>
    <row r="266" spans="2:13" x14ac:dyDescent="0.2">
      <c r="B266" s="110">
        <v>43584</v>
      </c>
      <c r="C266" s="353"/>
      <c r="D266" s="65"/>
      <c r="E266" s="13"/>
      <c r="F266" s="15"/>
      <c r="G266" s="66"/>
      <c r="H266" s="112">
        <f>164+85</f>
        <v>249</v>
      </c>
      <c r="I266" s="12">
        <f t="shared" si="10"/>
        <v>79.680000000000007</v>
      </c>
      <c r="J266" s="12">
        <f t="shared" si="11"/>
        <v>169.32000000000002</v>
      </c>
      <c r="K266" s="12"/>
      <c r="L266" s="63"/>
      <c r="M266" s="25"/>
    </row>
    <row r="267" spans="2:13" x14ac:dyDescent="0.2">
      <c r="B267" s="110">
        <v>43585</v>
      </c>
      <c r="C267" s="353"/>
      <c r="D267" s="65"/>
      <c r="E267" s="13"/>
      <c r="F267" s="15"/>
      <c r="G267" s="66"/>
      <c r="H267" s="112">
        <f>964+472</f>
        <v>1436</v>
      </c>
      <c r="I267" s="12">
        <f t="shared" si="10"/>
        <v>459.52</v>
      </c>
      <c r="J267" s="12">
        <f t="shared" si="11"/>
        <v>976.48</v>
      </c>
      <c r="K267" s="12"/>
      <c r="L267" s="63"/>
      <c r="M267" s="25"/>
    </row>
    <row r="268" spans="2:13" x14ac:dyDescent="0.2">
      <c r="B268" s="110">
        <v>43558</v>
      </c>
      <c r="C268" s="353"/>
      <c r="D268" s="65"/>
      <c r="E268" s="13"/>
      <c r="F268" s="15"/>
      <c r="G268" s="66"/>
      <c r="H268" s="112">
        <v>308</v>
      </c>
      <c r="I268" s="12">
        <f t="shared" si="10"/>
        <v>98.56</v>
      </c>
      <c r="J268" s="12">
        <f t="shared" si="11"/>
        <v>209.44000000000003</v>
      </c>
      <c r="K268" s="12"/>
      <c r="L268" s="63"/>
      <c r="M268" s="25"/>
    </row>
    <row r="269" spans="2:13" x14ac:dyDescent="0.2">
      <c r="B269" s="110">
        <v>43559</v>
      </c>
      <c r="C269" s="353"/>
      <c r="D269" s="65"/>
      <c r="E269" s="13"/>
      <c r="F269" s="15"/>
      <c r="G269" s="66"/>
      <c r="H269" s="112">
        <v>208</v>
      </c>
      <c r="I269" s="12">
        <f t="shared" si="10"/>
        <v>66.56</v>
      </c>
      <c r="J269" s="12">
        <f t="shared" si="11"/>
        <v>141.44</v>
      </c>
      <c r="K269" s="12"/>
      <c r="L269" s="63"/>
      <c r="M269" s="25"/>
    </row>
    <row r="270" spans="2:13" x14ac:dyDescent="0.2">
      <c r="B270" s="110">
        <v>43579</v>
      </c>
      <c r="C270" s="353"/>
      <c r="D270" s="65"/>
      <c r="E270" s="13"/>
      <c r="F270" s="15"/>
      <c r="G270" s="66"/>
      <c r="H270" s="112">
        <v>596</v>
      </c>
      <c r="I270" s="12">
        <f t="shared" si="10"/>
        <v>190.72</v>
      </c>
      <c r="J270" s="12">
        <f t="shared" si="11"/>
        <v>405.28000000000003</v>
      </c>
      <c r="K270" s="12"/>
      <c r="L270" s="63"/>
      <c r="M270" s="25"/>
    </row>
    <row r="271" spans="2:13" x14ac:dyDescent="0.2">
      <c r="B271" s="110">
        <v>43582</v>
      </c>
      <c r="C271" s="353"/>
      <c r="D271" s="65"/>
      <c r="E271" s="13"/>
      <c r="F271" s="15"/>
      <c r="G271" s="66"/>
      <c r="H271" s="112">
        <v>308</v>
      </c>
      <c r="I271" s="12">
        <f t="shared" si="10"/>
        <v>98.56</v>
      </c>
      <c r="J271" s="12">
        <f t="shared" si="11"/>
        <v>209.44000000000003</v>
      </c>
      <c r="K271" s="12"/>
      <c r="L271" s="63"/>
      <c r="M271" s="25"/>
    </row>
    <row r="272" spans="2:13" x14ac:dyDescent="0.2">
      <c r="B272" s="110"/>
      <c r="C272" s="353"/>
      <c r="D272" s="65"/>
      <c r="E272" s="13"/>
      <c r="F272" s="15"/>
      <c r="G272" s="66"/>
      <c r="H272" s="112"/>
      <c r="I272" s="12"/>
      <c r="J272" s="12"/>
      <c r="K272" s="12"/>
      <c r="L272" s="63"/>
      <c r="M272" s="25"/>
    </row>
    <row r="273" spans="2:13" x14ac:dyDescent="0.2">
      <c r="B273" s="110"/>
      <c r="C273" s="353"/>
      <c r="D273" s="65"/>
      <c r="E273" s="13"/>
      <c r="F273" s="15"/>
      <c r="G273" s="66"/>
      <c r="H273" s="112"/>
      <c r="I273" s="12"/>
      <c r="J273" s="12"/>
      <c r="K273" s="12"/>
      <c r="L273" s="63"/>
      <c r="M273" s="25"/>
    </row>
    <row r="274" spans="2:13" x14ac:dyDescent="0.2">
      <c r="B274" s="110"/>
      <c r="C274" s="353"/>
      <c r="D274" s="65"/>
      <c r="E274" s="13"/>
      <c r="F274" s="15"/>
      <c r="G274" s="66"/>
      <c r="H274" s="112"/>
      <c r="I274" s="12"/>
      <c r="J274" s="12"/>
      <c r="K274" s="12"/>
      <c r="L274" s="63"/>
      <c r="M274" s="25"/>
    </row>
    <row r="275" spans="2:13" x14ac:dyDescent="0.2">
      <c r="B275" s="110"/>
      <c r="C275" s="65"/>
      <c r="D275" s="65"/>
      <c r="E275" s="13"/>
      <c r="F275" s="15"/>
      <c r="G275" s="66"/>
      <c r="H275" s="112"/>
      <c r="I275" s="12"/>
      <c r="J275" s="12"/>
      <c r="K275" s="12"/>
      <c r="L275" s="63">
        <f>+J275-K275+L248</f>
        <v>49533.159999999996</v>
      </c>
      <c r="M275" s="25"/>
    </row>
    <row r="276" spans="2:13" x14ac:dyDescent="0.2">
      <c r="B276" s="547" t="s">
        <v>192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63">
        <f t="shared" si="12"/>
        <v>49533.159999999996</v>
      </c>
      <c r="M276" s="25"/>
    </row>
    <row r="277" spans="2:13" x14ac:dyDescent="0.2">
      <c r="B277" s="552" t="s">
        <v>56</v>
      </c>
      <c r="C277" s="553"/>
      <c r="D277" s="554" t="s">
        <v>51</v>
      </c>
      <c r="E277" s="554"/>
      <c r="F277" s="554"/>
      <c r="G277" s="94"/>
      <c r="H277" s="95"/>
      <c r="I277" s="96"/>
      <c r="J277" s="96"/>
      <c r="K277" s="97"/>
      <c r="L277" s="63">
        <f t="shared" si="12"/>
        <v>49533.159999999996</v>
      </c>
      <c r="M277" s="25"/>
    </row>
    <row r="278" spans="2:13" x14ac:dyDescent="0.2">
      <c r="B278" s="91" t="s">
        <v>1</v>
      </c>
      <c r="C278" s="92" t="s">
        <v>57</v>
      </c>
      <c r="D278" s="92" t="s">
        <v>2</v>
      </c>
      <c r="E278" s="402" t="s">
        <v>3</v>
      </c>
      <c r="F278" s="402" t="s">
        <v>4</v>
      </c>
      <c r="G278" s="561" t="s">
        <v>58</v>
      </c>
      <c r="H278" s="562"/>
      <c r="I278" s="562"/>
      <c r="J278" s="563"/>
      <c r="K278" s="90"/>
      <c r="L278" s="63">
        <f t="shared" si="12"/>
        <v>49533.159999999996</v>
      </c>
      <c r="M278" s="25"/>
    </row>
    <row r="279" spans="2:13" ht="32.25" customHeight="1" x14ac:dyDescent="0.2">
      <c r="B279" s="64">
        <v>43580</v>
      </c>
      <c r="C279" s="349" t="s">
        <v>575</v>
      </c>
      <c r="D279" s="349"/>
      <c r="E279" s="3"/>
      <c r="F279" s="16"/>
      <c r="G279" s="571" t="s">
        <v>576</v>
      </c>
      <c r="H279" s="572"/>
      <c r="I279" s="573"/>
      <c r="J279" s="349"/>
      <c r="K279" s="70"/>
      <c r="L279" s="63">
        <f t="shared" si="12"/>
        <v>49533.159999999996</v>
      </c>
      <c r="M279" s="25"/>
    </row>
    <row r="280" spans="2:13" x14ac:dyDescent="0.2">
      <c r="B280" s="10"/>
      <c r="C280" s="77"/>
      <c r="D280" s="77"/>
      <c r="E280" s="3"/>
      <c r="F280" s="16"/>
      <c r="G280" s="81"/>
      <c r="H280" s="568" t="s">
        <v>577</v>
      </c>
      <c r="I280" s="570"/>
      <c r="J280" s="349"/>
      <c r="K280" s="70">
        <v>1700</v>
      </c>
      <c r="L280" s="63">
        <f t="shared" si="12"/>
        <v>47833.159999999996</v>
      </c>
      <c r="M280" s="25"/>
    </row>
    <row r="281" spans="2:13" x14ac:dyDescent="0.2">
      <c r="B281" s="64"/>
      <c r="C281" s="77"/>
      <c r="D281" s="78"/>
      <c r="E281" s="3"/>
      <c r="F281" s="16"/>
      <c r="G281" s="81"/>
      <c r="H281" s="568" t="s">
        <v>578</v>
      </c>
      <c r="I281" s="570"/>
      <c r="J281" s="12"/>
      <c r="K281" s="12">
        <v>950</v>
      </c>
      <c r="L281" s="63">
        <f t="shared" si="12"/>
        <v>46883.159999999996</v>
      </c>
      <c r="M281" s="25"/>
    </row>
    <row r="282" spans="2:13" x14ac:dyDescent="0.2">
      <c r="B282" s="64"/>
      <c r="C282" s="78"/>
      <c r="D282" s="78"/>
      <c r="E282" s="3"/>
      <c r="F282" s="16"/>
      <c r="G282" s="69"/>
      <c r="H282" s="568" t="s">
        <v>579</v>
      </c>
      <c r="I282" s="570"/>
      <c r="J282" s="12"/>
      <c r="K282" s="12">
        <v>850</v>
      </c>
      <c r="L282" s="63">
        <f t="shared" si="12"/>
        <v>46033.159999999996</v>
      </c>
      <c r="M282" s="25"/>
    </row>
    <row r="283" spans="2:13" ht="37.5" customHeight="1" x14ac:dyDescent="0.2">
      <c r="B283" s="64">
        <v>43581</v>
      </c>
      <c r="C283" s="77" t="s">
        <v>587</v>
      </c>
      <c r="D283" s="78"/>
      <c r="E283" s="3"/>
      <c r="F283" s="16"/>
      <c r="G283" s="574" t="s">
        <v>588</v>
      </c>
      <c r="H283" s="575"/>
      <c r="I283" s="576"/>
      <c r="J283" s="12"/>
      <c r="K283" s="12"/>
      <c r="L283" s="63">
        <f t="shared" si="12"/>
        <v>46033.159999999996</v>
      </c>
      <c r="M283" s="25"/>
    </row>
    <row r="284" spans="2:13" x14ac:dyDescent="0.2">
      <c r="B284" s="64"/>
      <c r="C284" s="78"/>
      <c r="D284" s="78"/>
      <c r="E284" s="3"/>
      <c r="F284" s="16"/>
      <c r="G284" s="81"/>
      <c r="H284" s="62"/>
      <c r="I284" s="12" t="s">
        <v>243</v>
      </c>
      <c r="J284" s="12"/>
      <c r="K284" s="12">
        <v>2083.54</v>
      </c>
      <c r="L284" s="63">
        <f t="shared" si="12"/>
        <v>43949.619999999995</v>
      </c>
      <c r="M284" s="25"/>
    </row>
    <row r="285" spans="2:13" x14ac:dyDescent="0.2">
      <c r="B285" s="64"/>
      <c r="C285" s="78"/>
      <c r="D285" s="78"/>
      <c r="E285" s="3"/>
      <c r="F285" s="16"/>
      <c r="G285" s="81"/>
      <c r="H285" s="62"/>
      <c r="I285" s="12" t="s">
        <v>249</v>
      </c>
      <c r="J285" s="12"/>
      <c r="K285" s="12">
        <v>2778.06</v>
      </c>
      <c r="L285" s="63">
        <f t="shared" si="12"/>
        <v>41171.56</v>
      </c>
      <c r="M285" s="25"/>
    </row>
    <row r="286" spans="2:13" x14ac:dyDescent="0.2">
      <c r="B286" s="64"/>
      <c r="C286" s="78"/>
      <c r="D286" s="78"/>
      <c r="E286" s="3"/>
      <c r="F286" s="16"/>
      <c r="G286" s="81"/>
      <c r="H286" s="62"/>
      <c r="I286" s="12" t="s">
        <v>64</v>
      </c>
      <c r="J286" s="12"/>
      <c r="K286" s="12">
        <v>1041.77</v>
      </c>
      <c r="L286" s="63">
        <f t="shared" si="12"/>
        <v>40129.79</v>
      </c>
      <c r="M286" s="25"/>
    </row>
    <row r="287" spans="2:13" x14ac:dyDescent="0.2">
      <c r="B287" s="64"/>
      <c r="C287" s="78"/>
      <c r="D287" s="78"/>
      <c r="E287" s="3"/>
      <c r="F287" s="16"/>
      <c r="G287" s="81"/>
      <c r="H287" s="62"/>
      <c r="I287" s="12" t="s">
        <v>65</v>
      </c>
      <c r="J287" s="12"/>
      <c r="K287" s="12">
        <v>1041.77</v>
      </c>
      <c r="L287" s="63">
        <f t="shared" si="12"/>
        <v>39088.020000000004</v>
      </c>
      <c r="M287" s="25"/>
    </row>
    <row r="288" spans="2:13" x14ac:dyDescent="0.2">
      <c r="B288" s="10">
        <v>43584</v>
      </c>
      <c r="C288" s="359" t="s">
        <v>589</v>
      </c>
      <c r="D288" s="78"/>
      <c r="E288" s="3"/>
      <c r="F288" s="16"/>
      <c r="G288" s="81" t="s">
        <v>590</v>
      </c>
      <c r="H288" s="62"/>
      <c r="I288" s="12"/>
      <c r="J288" s="12"/>
      <c r="K288" s="12">
        <v>350</v>
      </c>
      <c r="L288" s="63">
        <f t="shared" si="12"/>
        <v>38738.020000000004</v>
      </c>
      <c r="M288" s="25"/>
    </row>
    <row r="289" spans="2:13" x14ac:dyDescent="0.2">
      <c r="B289" s="64"/>
      <c r="C289" s="78"/>
      <c r="D289" s="78"/>
      <c r="E289" s="3"/>
      <c r="F289" s="16"/>
      <c r="G289" s="81"/>
      <c r="H289" s="62"/>
      <c r="I289" s="12"/>
      <c r="J289" s="12"/>
      <c r="K289" s="12"/>
      <c r="L289" s="63">
        <f t="shared" si="12"/>
        <v>38738.020000000004</v>
      </c>
      <c r="M289" s="25"/>
    </row>
    <row r="290" spans="2:13" x14ac:dyDescent="0.2">
      <c r="B290" s="64"/>
      <c r="C290" s="78"/>
      <c r="D290" s="78"/>
      <c r="E290" s="3"/>
      <c r="F290" s="16"/>
      <c r="G290" s="81"/>
      <c r="H290" s="62"/>
      <c r="I290" s="12"/>
      <c r="J290" s="12"/>
      <c r="K290" s="12"/>
      <c r="L290" s="63">
        <f t="shared" si="12"/>
        <v>38738.020000000004</v>
      </c>
      <c r="M290" s="25"/>
    </row>
    <row r="291" spans="2:13" x14ac:dyDescent="0.2">
      <c r="B291" s="64"/>
      <c r="C291" s="65"/>
      <c r="D291" s="65"/>
      <c r="E291" s="13"/>
      <c r="F291" s="13"/>
      <c r="G291" s="81"/>
      <c r="H291" s="62"/>
      <c r="I291" s="12"/>
      <c r="J291" s="12"/>
      <c r="K291" s="12"/>
      <c r="L291" s="63">
        <f t="shared" si="12"/>
        <v>38738.020000000004</v>
      </c>
      <c r="M291" s="25"/>
    </row>
    <row r="292" spans="2:13" x14ac:dyDescent="0.2">
      <c r="B292" s="64"/>
      <c r="C292" s="65"/>
      <c r="D292" s="65"/>
      <c r="E292" s="3"/>
      <c r="F292" s="13"/>
      <c r="G292" s="81"/>
      <c r="H292" s="62"/>
      <c r="I292" s="12"/>
      <c r="J292" s="12"/>
      <c r="K292" s="12"/>
      <c r="L292" s="63">
        <f t="shared" si="12"/>
        <v>38738.020000000004</v>
      </c>
      <c r="M292" s="25"/>
    </row>
    <row r="293" spans="2:13" ht="12.75" thickBot="1" x14ac:dyDescent="0.25">
      <c r="B293" s="64"/>
      <c r="C293" s="65"/>
      <c r="D293" s="65"/>
      <c r="E293" s="13"/>
      <c r="F293" s="13"/>
      <c r="G293" s="104"/>
      <c r="H293" s="84"/>
      <c r="I293" s="12"/>
      <c r="J293" s="12"/>
      <c r="K293" s="12"/>
      <c r="L293" s="63"/>
      <c r="M293" s="25"/>
    </row>
    <row r="294" spans="2:13" x14ac:dyDescent="0.2">
      <c r="B294" s="56"/>
      <c r="C294" s="57"/>
      <c r="D294" s="57"/>
      <c r="E294" s="5"/>
      <c r="F294" s="5"/>
      <c r="G294" s="85" t="s">
        <v>26</v>
      </c>
      <c r="H294" s="107">
        <f>SUM(H227:H271)</f>
        <v>30375</v>
      </c>
      <c r="I294" s="105">
        <f>SUM(I227:I269)</f>
        <v>9430.7199999999993</v>
      </c>
      <c r="J294" s="106">
        <f>SUM(J227:J267)</f>
        <v>19689.400000000001</v>
      </c>
      <c r="K294" s="106">
        <f>SUM(K279:K292)</f>
        <v>10795.140000000001</v>
      </c>
      <c r="L294" s="108"/>
      <c r="M294" s="25"/>
    </row>
    <row r="295" spans="2:13" ht="12.75" thickBot="1" x14ac:dyDescent="0.25">
      <c r="B295" s="71"/>
      <c r="C295" s="72"/>
      <c r="D295" s="72"/>
      <c r="E295" s="73"/>
      <c r="F295" s="73"/>
      <c r="G295" s="86" t="s">
        <v>13</v>
      </c>
      <c r="H295" s="100"/>
      <c r="I295" s="99"/>
      <c r="J295" s="87"/>
      <c r="K295" s="87"/>
      <c r="L295" s="88">
        <f>+J294-K294+L226</f>
        <v>45308.860000000008</v>
      </c>
      <c r="M295" s="25"/>
    </row>
    <row r="296" spans="2:13" x14ac:dyDescent="0.2">
      <c r="B296" s="25"/>
      <c r="H296" s="74"/>
      <c r="I296" s="25"/>
      <c r="L296" s="25"/>
      <c r="M296" s="25"/>
    </row>
    <row r="297" spans="2:13" x14ac:dyDescent="0.2">
      <c r="B297" s="544" t="s">
        <v>48</v>
      </c>
      <c r="C297" s="545"/>
      <c r="D297" s="545"/>
      <c r="E297" s="545"/>
      <c r="F297" s="545"/>
      <c r="G297" s="545"/>
      <c r="H297" s="545"/>
      <c r="I297" s="545"/>
      <c r="J297" s="545"/>
      <c r="K297" s="545"/>
      <c r="L297" s="546"/>
      <c r="M297" s="25"/>
    </row>
    <row r="298" spans="2:13" x14ac:dyDescent="0.2">
      <c r="B298" s="547" t="s">
        <v>592</v>
      </c>
      <c r="C298" s="548"/>
      <c r="D298" s="548"/>
      <c r="E298" s="548"/>
      <c r="F298" s="548"/>
      <c r="G298" s="548"/>
      <c r="H298" s="548"/>
      <c r="I298" s="548"/>
      <c r="J298" s="548"/>
      <c r="K298" s="548"/>
      <c r="L298" s="549"/>
      <c r="M298" s="25"/>
    </row>
    <row r="299" spans="2:13" x14ac:dyDescent="0.2">
      <c r="B299" s="550" t="s">
        <v>50</v>
      </c>
      <c r="C299" s="550"/>
      <c r="D299" s="551" t="s">
        <v>51</v>
      </c>
      <c r="E299" s="551"/>
      <c r="F299" s="551"/>
      <c r="G299" s="400"/>
      <c r="H299" s="400"/>
      <c r="I299" s="400"/>
      <c r="J299" s="400"/>
      <c r="K299" s="400"/>
      <c r="L299" s="401"/>
      <c r="M299" s="25"/>
    </row>
    <row r="300" spans="2:13" ht="24" x14ac:dyDescent="0.2">
      <c r="B300" s="56" t="s">
        <v>1</v>
      </c>
      <c r="C300" s="57" t="s">
        <v>2</v>
      </c>
      <c r="D300" s="57" t="s">
        <v>2</v>
      </c>
      <c r="E300" s="5" t="s">
        <v>3</v>
      </c>
      <c r="F300" s="5" t="s">
        <v>4</v>
      </c>
      <c r="G300" s="89" t="s">
        <v>6</v>
      </c>
      <c r="H300" s="83" t="s">
        <v>7</v>
      </c>
      <c r="I300" s="83" t="s">
        <v>52</v>
      </c>
      <c r="J300" s="83" t="s">
        <v>53</v>
      </c>
      <c r="K300" s="5" t="s">
        <v>10</v>
      </c>
      <c r="L300" s="5" t="s">
        <v>11</v>
      </c>
      <c r="M300" s="25"/>
    </row>
    <row r="301" spans="2:13" x14ac:dyDescent="0.2">
      <c r="B301" s="58"/>
      <c r="C301" s="59"/>
      <c r="D301" s="59"/>
      <c r="E301" s="13"/>
      <c r="F301" s="13"/>
      <c r="G301" s="24"/>
      <c r="H301" s="60"/>
      <c r="I301" s="61"/>
      <c r="J301" s="61"/>
      <c r="K301" s="61"/>
      <c r="L301" s="60">
        <f>L295</f>
        <v>45308.860000000008</v>
      </c>
      <c r="M301" s="25"/>
    </row>
    <row r="302" spans="2:13" x14ac:dyDescent="0.2">
      <c r="B302" s="110">
        <v>43587</v>
      </c>
      <c r="C302" s="353" t="s">
        <v>597</v>
      </c>
      <c r="D302" s="11"/>
      <c r="E302" s="15"/>
      <c r="F302" s="15"/>
      <c r="G302" s="15" t="s">
        <v>191</v>
      </c>
      <c r="H302" s="112">
        <v>716</v>
      </c>
      <c r="I302" s="12">
        <f>H302*0.32</f>
        <v>229.12</v>
      </c>
      <c r="J302" s="12">
        <f>H302*0.68</f>
        <v>486.88000000000005</v>
      </c>
      <c r="K302" s="12"/>
      <c r="L302" s="63">
        <f>+J302-K302+L301</f>
        <v>45795.740000000005</v>
      </c>
      <c r="M302" s="25"/>
    </row>
    <row r="303" spans="2:13" x14ac:dyDescent="0.2">
      <c r="B303" s="110">
        <v>43588</v>
      </c>
      <c r="C303" s="353" t="s">
        <v>597</v>
      </c>
      <c r="D303" s="11"/>
      <c r="E303" s="15"/>
      <c r="F303" s="15"/>
      <c r="G303" s="15" t="s">
        <v>191</v>
      </c>
      <c r="H303" s="112">
        <v>572</v>
      </c>
      <c r="I303" s="12">
        <f t="shared" ref="I303:I340" si="13">H303*0.32</f>
        <v>183.04</v>
      </c>
      <c r="J303" s="12">
        <f t="shared" ref="J303:J340" si="14">H303*0.68</f>
        <v>388.96000000000004</v>
      </c>
      <c r="K303" s="12"/>
      <c r="L303" s="63">
        <f>+J303-K303+L302</f>
        <v>46184.700000000004</v>
      </c>
      <c r="M303" s="25"/>
    </row>
    <row r="304" spans="2:13" x14ac:dyDescent="0.2">
      <c r="B304" s="110">
        <v>43591</v>
      </c>
      <c r="C304" s="353" t="s">
        <v>597</v>
      </c>
      <c r="D304" s="11"/>
      <c r="E304" s="15"/>
      <c r="F304" s="15"/>
      <c r="G304" s="15" t="s">
        <v>191</v>
      </c>
      <c r="H304" s="112">
        <v>760</v>
      </c>
      <c r="I304" s="12">
        <f t="shared" si="13"/>
        <v>243.20000000000002</v>
      </c>
      <c r="J304" s="12">
        <f t="shared" si="14"/>
        <v>516.80000000000007</v>
      </c>
      <c r="K304" s="12"/>
      <c r="L304" s="63">
        <f>+J304-K304+L303</f>
        <v>46701.500000000007</v>
      </c>
      <c r="M304" s="25"/>
    </row>
    <row r="305" spans="2:13" x14ac:dyDescent="0.2">
      <c r="B305" s="110">
        <v>43592</v>
      </c>
      <c r="C305" s="353" t="s">
        <v>597</v>
      </c>
      <c r="D305" s="77"/>
      <c r="E305" s="15"/>
      <c r="F305" s="15"/>
      <c r="G305" s="15" t="s">
        <v>191</v>
      </c>
      <c r="H305" s="112">
        <v>308</v>
      </c>
      <c r="I305" s="12">
        <f t="shared" si="13"/>
        <v>98.56</v>
      </c>
      <c r="J305" s="12">
        <f t="shared" si="14"/>
        <v>209.44000000000003</v>
      </c>
      <c r="K305" s="12"/>
      <c r="L305" s="63">
        <f>+J305-K305+L304</f>
        <v>46910.94000000001</v>
      </c>
      <c r="M305" s="25"/>
    </row>
    <row r="306" spans="2:13" x14ac:dyDescent="0.2">
      <c r="B306" s="110">
        <v>43593</v>
      </c>
      <c r="C306" s="353" t="s">
        <v>597</v>
      </c>
      <c r="D306" s="11"/>
      <c r="E306" s="15"/>
      <c r="F306" s="15"/>
      <c r="G306" s="15" t="s">
        <v>191</v>
      </c>
      <c r="H306" s="112">
        <v>716</v>
      </c>
      <c r="I306" s="12">
        <f t="shared" si="13"/>
        <v>229.12</v>
      </c>
      <c r="J306" s="12">
        <f t="shared" si="14"/>
        <v>486.88000000000005</v>
      </c>
      <c r="K306" s="12"/>
      <c r="L306" s="63">
        <f t="shared" ref="L306:L356" si="15">+J306-K306+L305</f>
        <v>47397.820000000007</v>
      </c>
      <c r="M306" s="25"/>
    </row>
    <row r="307" spans="2:13" x14ac:dyDescent="0.2">
      <c r="B307" s="110">
        <v>43594</v>
      </c>
      <c r="C307" s="353" t="s">
        <v>597</v>
      </c>
      <c r="D307" s="11"/>
      <c r="E307" s="15"/>
      <c r="F307" s="15"/>
      <c r="G307" s="15" t="s">
        <v>191</v>
      </c>
      <c r="H307" s="112">
        <v>1063</v>
      </c>
      <c r="I307" s="12">
        <f t="shared" si="13"/>
        <v>340.16</v>
      </c>
      <c r="J307" s="12">
        <f t="shared" si="14"/>
        <v>722.84</v>
      </c>
      <c r="K307" s="12"/>
      <c r="L307" s="63">
        <f t="shared" si="15"/>
        <v>48120.66</v>
      </c>
      <c r="M307" s="25"/>
    </row>
    <row r="308" spans="2:13" x14ac:dyDescent="0.2">
      <c r="B308" s="110">
        <v>43595</v>
      </c>
      <c r="C308" s="353" t="s">
        <v>597</v>
      </c>
      <c r="D308" s="11"/>
      <c r="E308" s="15"/>
      <c r="F308" s="15"/>
      <c r="G308" s="15" t="s">
        <v>191</v>
      </c>
      <c r="H308" s="112">
        <v>120</v>
      </c>
      <c r="I308" s="12">
        <f t="shared" si="13"/>
        <v>38.4</v>
      </c>
      <c r="J308" s="12">
        <f t="shared" si="14"/>
        <v>81.600000000000009</v>
      </c>
      <c r="K308" s="12"/>
      <c r="L308" s="63">
        <f t="shared" si="15"/>
        <v>48202.26</v>
      </c>
      <c r="M308" s="25"/>
    </row>
    <row r="309" spans="2:13" x14ac:dyDescent="0.2">
      <c r="B309" s="110">
        <v>43598</v>
      </c>
      <c r="C309" s="353" t="s">
        <v>597</v>
      </c>
      <c r="D309" s="11"/>
      <c r="E309" s="15"/>
      <c r="F309" s="15"/>
      <c r="G309" s="15" t="s">
        <v>191</v>
      </c>
      <c r="H309" s="112">
        <v>100</v>
      </c>
      <c r="I309" s="12">
        <f t="shared" si="13"/>
        <v>32</v>
      </c>
      <c r="J309" s="12">
        <f t="shared" si="14"/>
        <v>68</v>
      </c>
      <c r="K309" s="12"/>
      <c r="L309" s="63">
        <f t="shared" si="15"/>
        <v>48270.26</v>
      </c>
      <c r="M309" s="25"/>
    </row>
    <row r="310" spans="2:13" x14ac:dyDescent="0.2">
      <c r="B310" s="110">
        <v>43599</v>
      </c>
      <c r="C310" s="353" t="s">
        <v>597</v>
      </c>
      <c r="D310" s="11"/>
      <c r="E310" s="15"/>
      <c r="F310" s="15"/>
      <c r="G310" s="15" t="s">
        <v>191</v>
      </c>
      <c r="H310" s="112">
        <v>616</v>
      </c>
      <c r="I310" s="12">
        <f t="shared" si="13"/>
        <v>197.12</v>
      </c>
      <c r="J310" s="12">
        <f t="shared" si="14"/>
        <v>418.88000000000005</v>
      </c>
      <c r="K310" s="12"/>
      <c r="L310" s="63">
        <f t="shared" si="15"/>
        <v>48689.14</v>
      </c>
      <c r="M310" s="25"/>
    </row>
    <row r="311" spans="2:13" x14ac:dyDescent="0.2">
      <c r="B311" s="110">
        <v>43600</v>
      </c>
      <c r="C311" s="353" t="s">
        <v>597</v>
      </c>
      <c r="D311" s="65"/>
      <c r="E311" s="13"/>
      <c r="F311" s="15"/>
      <c r="G311" s="15" t="s">
        <v>191</v>
      </c>
      <c r="H311" s="112">
        <v>1148</v>
      </c>
      <c r="I311" s="12">
        <f t="shared" si="13"/>
        <v>367.36</v>
      </c>
      <c r="J311" s="12">
        <f t="shared" si="14"/>
        <v>780.6400000000001</v>
      </c>
      <c r="K311" s="12"/>
      <c r="L311" s="63">
        <f t="shared" si="15"/>
        <v>49469.78</v>
      </c>
      <c r="M311" s="25"/>
    </row>
    <row r="312" spans="2:13" x14ac:dyDescent="0.2">
      <c r="B312" s="110">
        <v>43602</v>
      </c>
      <c r="C312" s="353" t="s">
        <v>598</v>
      </c>
      <c r="D312" s="65"/>
      <c r="E312" s="13"/>
      <c r="F312" s="15"/>
      <c r="G312" s="15" t="s">
        <v>599</v>
      </c>
      <c r="H312" s="112">
        <v>164</v>
      </c>
      <c r="I312" s="12">
        <f t="shared" si="13"/>
        <v>52.480000000000004</v>
      </c>
      <c r="J312" s="12">
        <f t="shared" si="14"/>
        <v>111.52000000000001</v>
      </c>
      <c r="K312" s="12"/>
      <c r="L312" s="63">
        <f t="shared" si="15"/>
        <v>49581.299999999996</v>
      </c>
      <c r="M312" s="25"/>
    </row>
    <row r="313" spans="2:13" x14ac:dyDescent="0.2">
      <c r="B313" s="110">
        <v>43603</v>
      </c>
      <c r="C313" s="353" t="s">
        <v>598</v>
      </c>
      <c r="D313" s="65"/>
      <c r="E313" s="13"/>
      <c r="F313" s="15"/>
      <c r="G313" s="15" t="s">
        <v>599</v>
      </c>
      <c r="H313" s="112">
        <f>288-288</f>
        <v>0</v>
      </c>
      <c r="I313" s="12">
        <f t="shared" si="13"/>
        <v>0</v>
      </c>
      <c r="J313" s="12">
        <f t="shared" si="14"/>
        <v>0</v>
      </c>
      <c r="K313" s="12"/>
      <c r="L313" s="63">
        <f t="shared" si="15"/>
        <v>49581.299999999996</v>
      </c>
      <c r="M313" s="25"/>
    </row>
    <row r="314" spans="2:13" x14ac:dyDescent="0.2">
      <c r="B314" s="110">
        <v>43605</v>
      </c>
      <c r="C314" s="353" t="s">
        <v>598</v>
      </c>
      <c r="D314" s="65"/>
      <c r="E314" s="13"/>
      <c r="F314" s="15"/>
      <c r="G314" s="15" t="s">
        <v>599</v>
      </c>
      <c r="H314" s="112">
        <v>30</v>
      </c>
      <c r="I314" s="12">
        <f t="shared" si="13"/>
        <v>9.6</v>
      </c>
      <c r="J314" s="12">
        <f t="shared" si="14"/>
        <v>20.400000000000002</v>
      </c>
      <c r="K314" s="12"/>
      <c r="L314" s="63">
        <f t="shared" si="15"/>
        <v>49601.7</v>
      </c>
      <c r="M314" s="25"/>
    </row>
    <row r="315" spans="2:13" x14ac:dyDescent="0.2">
      <c r="B315" s="110">
        <v>43606</v>
      </c>
      <c r="C315" s="353" t="s">
        <v>598</v>
      </c>
      <c r="D315" s="65"/>
      <c r="E315" s="13"/>
      <c r="F315" s="15"/>
      <c r="G315" s="15" t="s">
        <v>599</v>
      </c>
      <c r="H315" s="112">
        <v>144</v>
      </c>
      <c r="I315" s="12">
        <f t="shared" si="13"/>
        <v>46.08</v>
      </c>
      <c r="J315" s="12">
        <f t="shared" si="14"/>
        <v>97.92</v>
      </c>
      <c r="K315" s="12"/>
      <c r="L315" s="63">
        <f t="shared" si="15"/>
        <v>49699.619999999995</v>
      </c>
      <c r="M315" s="25"/>
    </row>
    <row r="316" spans="2:13" x14ac:dyDescent="0.2">
      <c r="B316" s="110">
        <v>43607</v>
      </c>
      <c r="C316" s="353" t="s">
        <v>598</v>
      </c>
      <c r="D316" s="65"/>
      <c r="E316" s="13"/>
      <c r="F316" s="15"/>
      <c r="G316" s="15" t="s">
        <v>599</v>
      </c>
      <c r="H316" s="112">
        <v>100</v>
      </c>
      <c r="I316" s="12">
        <f t="shared" si="13"/>
        <v>32</v>
      </c>
      <c r="J316" s="12">
        <f t="shared" si="14"/>
        <v>68</v>
      </c>
      <c r="K316" s="12"/>
      <c r="L316" s="63">
        <f t="shared" si="15"/>
        <v>49767.619999999995</v>
      </c>
      <c r="M316" s="25"/>
    </row>
    <row r="317" spans="2:13" x14ac:dyDescent="0.2">
      <c r="B317" s="110">
        <v>43608</v>
      </c>
      <c r="C317" s="353" t="s">
        <v>598</v>
      </c>
      <c r="D317" s="65"/>
      <c r="E317" s="13"/>
      <c r="F317" s="15"/>
      <c r="G317" s="15" t="s">
        <v>599</v>
      </c>
      <c r="H317" s="112">
        <f>1091-3</f>
        <v>1088</v>
      </c>
      <c r="I317" s="12">
        <f t="shared" si="13"/>
        <v>348.16</v>
      </c>
      <c r="J317" s="12">
        <f t="shared" si="14"/>
        <v>739.84</v>
      </c>
      <c r="K317" s="12"/>
      <c r="L317" s="63">
        <f t="shared" si="15"/>
        <v>50507.459999999992</v>
      </c>
      <c r="M317" s="25"/>
    </row>
    <row r="318" spans="2:13" x14ac:dyDescent="0.2">
      <c r="B318" s="110">
        <v>43609</v>
      </c>
      <c r="C318" s="353" t="s">
        <v>598</v>
      </c>
      <c r="D318" s="65"/>
      <c r="E318" s="13"/>
      <c r="F318" s="15"/>
      <c r="G318" s="15" t="s">
        <v>599</v>
      </c>
      <c r="H318" s="112">
        <v>592</v>
      </c>
      <c r="I318" s="12">
        <f t="shared" si="13"/>
        <v>189.44</v>
      </c>
      <c r="J318" s="12">
        <f t="shared" si="14"/>
        <v>402.56</v>
      </c>
      <c r="K318" s="12"/>
      <c r="L318" s="63">
        <f t="shared" si="15"/>
        <v>50910.01999999999</v>
      </c>
      <c r="M318" s="25"/>
    </row>
    <row r="319" spans="2:13" x14ac:dyDescent="0.2">
      <c r="B319" s="110">
        <v>43610</v>
      </c>
      <c r="C319" s="353" t="s">
        <v>598</v>
      </c>
      <c r="D319" s="65"/>
      <c r="E319" s="13"/>
      <c r="F319" s="15"/>
      <c r="G319" s="15" t="s">
        <v>599</v>
      </c>
      <c r="H319" s="112">
        <f>144-144</f>
        <v>0</v>
      </c>
      <c r="I319" s="12">
        <f t="shared" si="13"/>
        <v>0</v>
      </c>
      <c r="J319" s="12">
        <f t="shared" si="14"/>
        <v>0</v>
      </c>
      <c r="K319" s="12"/>
      <c r="L319" s="63">
        <f t="shared" si="15"/>
        <v>50910.01999999999</v>
      </c>
      <c r="M319" s="25"/>
    </row>
    <row r="320" spans="2:13" x14ac:dyDescent="0.2">
      <c r="B320" s="110">
        <v>43612</v>
      </c>
      <c r="C320" s="353" t="s">
        <v>598</v>
      </c>
      <c r="D320" s="65"/>
      <c r="E320" s="13"/>
      <c r="F320" s="15"/>
      <c r="G320" s="15" t="s">
        <v>599</v>
      </c>
      <c r="H320" s="112">
        <v>616</v>
      </c>
      <c r="I320" s="12">
        <f t="shared" si="13"/>
        <v>197.12</v>
      </c>
      <c r="J320" s="12">
        <f t="shared" si="14"/>
        <v>418.88000000000005</v>
      </c>
      <c r="K320" s="12"/>
      <c r="L320" s="63">
        <f t="shared" si="15"/>
        <v>51328.899999999987</v>
      </c>
      <c r="M320" s="25"/>
    </row>
    <row r="321" spans="2:13" x14ac:dyDescent="0.2">
      <c r="B321" s="110">
        <v>43613</v>
      </c>
      <c r="C321" s="353" t="s">
        <v>598</v>
      </c>
      <c r="D321" s="65"/>
      <c r="E321" s="13"/>
      <c r="F321" s="15"/>
      <c r="G321" s="15" t="s">
        <v>599</v>
      </c>
      <c r="H321" s="112">
        <v>308</v>
      </c>
      <c r="I321" s="12">
        <f t="shared" si="13"/>
        <v>98.56</v>
      </c>
      <c r="J321" s="12">
        <f t="shared" si="14"/>
        <v>209.44000000000003</v>
      </c>
      <c r="K321" s="12"/>
      <c r="L321" s="63">
        <f t="shared" si="15"/>
        <v>51538.339999999989</v>
      </c>
      <c r="M321" s="25"/>
    </row>
    <row r="322" spans="2:13" x14ac:dyDescent="0.2">
      <c r="B322" s="110">
        <v>43616</v>
      </c>
      <c r="C322" s="353" t="s">
        <v>598</v>
      </c>
      <c r="D322" s="65"/>
      <c r="E322" s="13"/>
      <c r="F322" s="15"/>
      <c r="G322" s="15" t="s">
        <v>599</v>
      </c>
      <c r="H322" s="112">
        <v>144</v>
      </c>
      <c r="I322" s="12">
        <f t="shared" si="13"/>
        <v>46.08</v>
      </c>
      <c r="J322" s="12">
        <f t="shared" si="14"/>
        <v>97.92</v>
      </c>
      <c r="K322" s="12"/>
      <c r="L322" s="63">
        <f t="shared" si="15"/>
        <v>51636.259999999987</v>
      </c>
      <c r="M322" s="25"/>
    </row>
    <row r="323" spans="2:13" x14ac:dyDescent="0.2">
      <c r="B323" s="110">
        <v>43587</v>
      </c>
      <c r="C323" s="353"/>
      <c r="D323" s="65"/>
      <c r="E323" s="13"/>
      <c r="F323" s="15"/>
      <c r="G323" s="15"/>
      <c r="H323" s="112">
        <v>328</v>
      </c>
      <c r="I323" s="12">
        <f t="shared" si="13"/>
        <v>104.96000000000001</v>
      </c>
      <c r="J323" s="12">
        <f t="shared" si="14"/>
        <v>223.04000000000002</v>
      </c>
      <c r="K323" s="12"/>
      <c r="L323" s="63">
        <f t="shared" si="15"/>
        <v>51859.299999999988</v>
      </c>
      <c r="M323" s="25"/>
    </row>
    <row r="324" spans="2:13" x14ac:dyDescent="0.2">
      <c r="B324" s="110">
        <v>43588</v>
      </c>
      <c r="C324" s="353"/>
      <c r="D324" s="65"/>
      <c r="E324" s="13"/>
      <c r="F324" s="15"/>
      <c r="G324" s="15"/>
      <c r="H324" s="112">
        <v>100</v>
      </c>
      <c r="I324" s="12">
        <f t="shared" si="13"/>
        <v>32</v>
      </c>
      <c r="J324" s="12">
        <f t="shared" si="14"/>
        <v>68</v>
      </c>
      <c r="K324" s="12"/>
      <c r="L324" s="63">
        <f t="shared" si="15"/>
        <v>51927.299999999988</v>
      </c>
      <c r="M324" s="25"/>
    </row>
    <row r="325" spans="2:13" x14ac:dyDescent="0.2">
      <c r="B325" s="110">
        <v>43589</v>
      </c>
      <c r="C325" s="353"/>
      <c r="D325" s="65"/>
      <c r="E325" s="13"/>
      <c r="F325" s="15"/>
      <c r="G325" s="15"/>
      <c r="H325" s="112">
        <v>452</v>
      </c>
      <c r="I325" s="12">
        <f t="shared" si="13"/>
        <v>144.64000000000001</v>
      </c>
      <c r="J325" s="12">
        <f t="shared" si="14"/>
        <v>307.36</v>
      </c>
      <c r="K325" s="12"/>
      <c r="L325" s="63">
        <f t="shared" si="15"/>
        <v>52234.659999999989</v>
      </c>
      <c r="M325" s="25"/>
    </row>
    <row r="326" spans="2:13" x14ac:dyDescent="0.2">
      <c r="B326" s="110">
        <v>43591</v>
      </c>
      <c r="C326" s="353"/>
      <c r="D326" s="65"/>
      <c r="E326" s="13"/>
      <c r="F326" s="15"/>
      <c r="G326" s="15"/>
      <c r="H326" s="112">
        <f>308+764</f>
        <v>1072</v>
      </c>
      <c r="I326" s="12">
        <f t="shared" si="13"/>
        <v>343.04</v>
      </c>
      <c r="J326" s="12">
        <f t="shared" si="14"/>
        <v>728.96</v>
      </c>
      <c r="K326" s="12"/>
      <c r="L326" s="63">
        <f t="shared" si="15"/>
        <v>52963.619999999988</v>
      </c>
      <c r="M326" s="25"/>
    </row>
    <row r="327" spans="2:13" x14ac:dyDescent="0.2">
      <c r="B327" s="110">
        <v>43592</v>
      </c>
      <c r="C327" s="353"/>
      <c r="D327" s="65"/>
      <c r="E327" s="13"/>
      <c r="F327" s="15"/>
      <c r="G327" s="15"/>
      <c r="H327" s="112">
        <v>616</v>
      </c>
      <c r="I327" s="12">
        <f t="shared" si="13"/>
        <v>197.12</v>
      </c>
      <c r="J327" s="12">
        <f t="shared" si="14"/>
        <v>418.88000000000005</v>
      </c>
      <c r="K327" s="12"/>
      <c r="L327" s="63">
        <f t="shared" si="15"/>
        <v>53382.499999999985</v>
      </c>
      <c r="M327" s="25"/>
    </row>
    <row r="328" spans="2:13" x14ac:dyDescent="0.2">
      <c r="B328" s="110">
        <v>43593</v>
      </c>
      <c r="C328" s="353"/>
      <c r="D328" s="65"/>
      <c r="E328" s="13"/>
      <c r="F328" s="15"/>
      <c r="G328" s="15"/>
      <c r="H328" s="112">
        <v>164</v>
      </c>
      <c r="I328" s="12">
        <f t="shared" si="13"/>
        <v>52.480000000000004</v>
      </c>
      <c r="J328" s="12">
        <f t="shared" si="14"/>
        <v>111.52000000000001</v>
      </c>
      <c r="K328" s="12"/>
      <c r="L328" s="63">
        <f t="shared" si="15"/>
        <v>53494.019999999982</v>
      </c>
      <c r="M328" s="25"/>
    </row>
    <row r="329" spans="2:13" x14ac:dyDescent="0.2">
      <c r="B329" s="110">
        <v>43594</v>
      </c>
      <c r="C329" s="353"/>
      <c r="D329" s="65"/>
      <c r="E329" s="13"/>
      <c r="F329" s="15"/>
      <c r="G329" s="15"/>
      <c r="H329" s="112">
        <v>328</v>
      </c>
      <c r="I329" s="12">
        <f t="shared" si="13"/>
        <v>104.96000000000001</v>
      </c>
      <c r="J329" s="12">
        <f t="shared" si="14"/>
        <v>223.04000000000002</v>
      </c>
      <c r="K329" s="12"/>
      <c r="L329" s="63">
        <f t="shared" si="15"/>
        <v>53717.059999999983</v>
      </c>
      <c r="M329" s="25"/>
    </row>
    <row r="330" spans="2:13" x14ac:dyDescent="0.2">
      <c r="B330" s="110">
        <v>43599</v>
      </c>
      <c r="C330" s="353"/>
      <c r="D330" s="65"/>
      <c r="E330" s="13"/>
      <c r="F330" s="15"/>
      <c r="G330" s="15"/>
      <c r="H330" s="112">
        <f>308+288</f>
        <v>596</v>
      </c>
      <c r="I330" s="12">
        <f t="shared" si="13"/>
        <v>190.72</v>
      </c>
      <c r="J330" s="12">
        <f t="shared" si="14"/>
        <v>405.28000000000003</v>
      </c>
      <c r="K330" s="12"/>
      <c r="L330" s="63">
        <f t="shared" si="15"/>
        <v>54122.339999999982</v>
      </c>
      <c r="M330" s="25"/>
    </row>
    <row r="331" spans="2:13" x14ac:dyDescent="0.2">
      <c r="B331" s="110">
        <v>43600</v>
      </c>
      <c r="C331" s="353"/>
      <c r="D331" s="65"/>
      <c r="E331" s="13"/>
      <c r="F331" s="15"/>
      <c r="G331" s="15"/>
      <c r="H331" s="112">
        <v>354</v>
      </c>
      <c r="I331" s="12">
        <f t="shared" si="13"/>
        <v>113.28</v>
      </c>
      <c r="J331" s="12">
        <f t="shared" si="14"/>
        <v>240.72000000000003</v>
      </c>
      <c r="K331" s="12"/>
      <c r="L331" s="63">
        <f t="shared" si="15"/>
        <v>54363.059999999983</v>
      </c>
      <c r="M331" s="25"/>
    </row>
    <row r="332" spans="2:13" x14ac:dyDescent="0.2">
      <c r="B332" s="110">
        <v>43602</v>
      </c>
      <c r="C332" s="353"/>
      <c r="D332" s="65"/>
      <c r="E332" s="13"/>
      <c r="F332" s="15"/>
      <c r="G332" s="15"/>
      <c r="H332" s="112">
        <v>308</v>
      </c>
      <c r="I332" s="12">
        <f t="shared" si="13"/>
        <v>98.56</v>
      </c>
      <c r="J332" s="12">
        <f t="shared" si="14"/>
        <v>209.44000000000003</v>
      </c>
      <c r="K332" s="12"/>
      <c r="L332" s="63">
        <f t="shared" si="15"/>
        <v>54572.499999999985</v>
      </c>
      <c r="M332" s="25"/>
    </row>
    <row r="333" spans="2:13" x14ac:dyDescent="0.2">
      <c r="B333" s="110">
        <v>43609</v>
      </c>
      <c r="C333" s="353"/>
      <c r="D333" s="65"/>
      <c r="E333" s="13"/>
      <c r="F333" s="15"/>
      <c r="G333" s="15"/>
      <c r="H333" s="112">
        <v>164</v>
      </c>
      <c r="I333" s="12">
        <f t="shared" si="13"/>
        <v>52.480000000000004</v>
      </c>
      <c r="J333" s="12">
        <f t="shared" si="14"/>
        <v>111.52000000000001</v>
      </c>
      <c r="K333" s="12"/>
      <c r="L333" s="63">
        <f t="shared" si="15"/>
        <v>54684.019999999982</v>
      </c>
      <c r="M333" s="25"/>
    </row>
    <row r="334" spans="2:13" x14ac:dyDescent="0.2">
      <c r="B334" s="110">
        <v>43603</v>
      </c>
      <c r="C334" s="353"/>
      <c r="D334" s="65"/>
      <c r="E334" s="13"/>
      <c r="F334" s="15"/>
      <c r="G334" s="15"/>
      <c r="H334" s="112">
        <v>288</v>
      </c>
      <c r="I334" s="12">
        <f t="shared" si="13"/>
        <v>92.16</v>
      </c>
      <c r="J334" s="12">
        <f t="shared" si="14"/>
        <v>195.84</v>
      </c>
      <c r="K334" s="12"/>
      <c r="L334" s="63">
        <f t="shared" si="15"/>
        <v>54879.859999999979</v>
      </c>
      <c r="M334" s="25"/>
    </row>
    <row r="335" spans="2:13" x14ac:dyDescent="0.2">
      <c r="B335" s="110">
        <v>43605</v>
      </c>
      <c r="C335" s="353"/>
      <c r="D335" s="65"/>
      <c r="E335" s="13"/>
      <c r="F335" s="15"/>
      <c r="G335" s="15"/>
      <c r="H335" s="112">
        <v>770</v>
      </c>
      <c r="I335" s="12">
        <f t="shared" si="13"/>
        <v>246.4</v>
      </c>
      <c r="J335" s="12">
        <f t="shared" si="14"/>
        <v>523.6</v>
      </c>
      <c r="K335" s="12"/>
      <c r="L335" s="63">
        <f t="shared" si="15"/>
        <v>55403.459999999977</v>
      </c>
      <c r="M335" s="25"/>
    </row>
    <row r="336" spans="2:13" x14ac:dyDescent="0.2">
      <c r="B336" s="110">
        <v>43608</v>
      </c>
      <c r="C336" s="353"/>
      <c r="D336" s="65"/>
      <c r="E336" s="13"/>
      <c r="F336" s="15"/>
      <c r="G336" s="15"/>
      <c r="H336" s="112">
        <v>913</v>
      </c>
      <c r="I336" s="12">
        <f t="shared" si="13"/>
        <v>292.16000000000003</v>
      </c>
      <c r="J336" s="12">
        <f t="shared" si="14"/>
        <v>620.84</v>
      </c>
      <c r="K336" s="12"/>
      <c r="L336" s="63">
        <f t="shared" si="15"/>
        <v>56024.299999999974</v>
      </c>
      <c r="M336" s="25"/>
    </row>
    <row r="337" spans="2:13" x14ac:dyDescent="0.2">
      <c r="B337" s="110">
        <v>43610</v>
      </c>
      <c r="C337" s="353"/>
      <c r="D337" s="65"/>
      <c r="E337" s="13"/>
      <c r="F337" s="15"/>
      <c r="G337" s="15"/>
      <c r="H337" s="112">
        <v>144</v>
      </c>
      <c r="I337" s="12">
        <f t="shared" si="13"/>
        <v>46.08</v>
      </c>
      <c r="J337" s="12">
        <f t="shared" si="14"/>
        <v>97.92</v>
      </c>
      <c r="K337" s="12"/>
      <c r="L337" s="63">
        <f t="shared" si="15"/>
        <v>56122.219999999972</v>
      </c>
      <c r="M337" s="25"/>
    </row>
    <row r="338" spans="2:13" x14ac:dyDescent="0.2">
      <c r="B338" s="110">
        <v>43612</v>
      </c>
      <c r="C338" s="353"/>
      <c r="D338" s="65"/>
      <c r="E338" s="13"/>
      <c r="F338" s="15"/>
      <c r="G338" s="15"/>
      <c r="H338" s="112">
        <v>308</v>
      </c>
      <c r="I338" s="12">
        <f t="shared" si="13"/>
        <v>98.56</v>
      </c>
      <c r="J338" s="12">
        <f t="shared" si="14"/>
        <v>209.44000000000003</v>
      </c>
      <c r="K338" s="12"/>
      <c r="L338" s="63">
        <f t="shared" si="15"/>
        <v>56331.659999999974</v>
      </c>
      <c r="M338" s="25"/>
    </row>
    <row r="339" spans="2:13" x14ac:dyDescent="0.2">
      <c r="B339" s="110">
        <v>43616</v>
      </c>
      <c r="C339" s="353"/>
      <c r="D339" s="65"/>
      <c r="E339" s="13"/>
      <c r="F339" s="15"/>
      <c r="G339" s="15"/>
      <c r="H339" s="112">
        <v>680</v>
      </c>
      <c r="I339" s="12">
        <f t="shared" si="13"/>
        <v>217.6</v>
      </c>
      <c r="J339" s="12">
        <f t="shared" si="14"/>
        <v>462.40000000000003</v>
      </c>
      <c r="K339" s="12"/>
      <c r="L339" s="63">
        <f t="shared" si="15"/>
        <v>56794.059999999976</v>
      </c>
      <c r="M339" s="25"/>
    </row>
    <row r="340" spans="2:13" x14ac:dyDescent="0.2">
      <c r="B340" s="110">
        <v>43613</v>
      </c>
      <c r="C340" s="353"/>
      <c r="D340" s="65"/>
      <c r="E340" s="13"/>
      <c r="F340" s="15"/>
      <c r="G340" s="15"/>
      <c r="H340" s="112">
        <v>308</v>
      </c>
      <c r="I340" s="12">
        <f t="shared" si="13"/>
        <v>98.56</v>
      </c>
      <c r="J340" s="12">
        <f t="shared" si="14"/>
        <v>209.44000000000003</v>
      </c>
      <c r="K340" s="12"/>
      <c r="L340" s="63">
        <f t="shared" si="15"/>
        <v>57003.499999999978</v>
      </c>
      <c r="M340" s="25"/>
    </row>
    <row r="341" spans="2:13" x14ac:dyDescent="0.2">
      <c r="B341" s="110"/>
      <c r="C341" s="353"/>
      <c r="D341" s="65"/>
      <c r="E341" s="13"/>
      <c r="F341" s="15"/>
      <c r="G341" s="15"/>
      <c r="H341" s="112"/>
      <c r="I341" s="12"/>
      <c r="J341" s="12"/>
      <c r="K341" s="12"/>
      <c r="L341" s="63">
        <f t="shared" si="15"/>
        <v>57003.499999999978</v>
      </c>
      <c r="M341" s="25"/>
    </row>
    <row r="342" spans="2:13" x14ac:dyDescent="0.2">
      <c r="B342" s="110"/>
      <c r="C342" s="65"/>
      <c r="D342" s="65"/>
      <c r="E342" s="13"/>
      <c r="F342" s="15"/>
      <c r="G342" s="66"/>
      <c r="H342" s="112"/>
      <c r="I342" s="12"/>
      <c r="J342" s="12"/>
      <c r="K342" s="12"/>
      <c r="L342" s="63">
        <f t="shared" si="15"/>
        <v>57003.499999999978</v>
      </c>
      <c r="M342" s="25"/>
    </row>
    <row r="343" spans="2:13" x14ac:dyDescent="0.2">
      <c r="B343" s="547" t="s">
        <v>256</v>
      </c>
      <c r="C343" s="548"/>
      <c r="D343" s="548"/>
      <c r="E343" s="548"/>
      <c r="F343" s="548"/>
      <c r="G343" s="548"/>
      <c r="H343" s="548"/>
      <c r="I343" s="548"/>
      <c r="J343" s="548"/>
      <c r="K343" s="548"/>
      <c r="L343" s="63">
        <f t="shared" si="15"/>
        <v>57003.499999999978</v>
      </c>
      <c r="M343" s="25"/>
    </row>
    <row r="344" spans="2:13" x14ac:dyDescent="0.2">
      <c r="B344" s="552" t="s">
        <v>56</v>
      </c>
      <c r="C344" s="553"/>
      <c r="D344" s="554" t="s">
        <v>51</v>
      </c>
      <c r="E344" s="554"/>
      <c r="F344" s="554"/>
      <c r="G344" s="94"/>
      <c r="H344" s="95"/>
      <c r="I344" s="96"/>
      <c r="J344" s="96"/>
      <c r="K344" s="97"/>
      <c r="L344" s="63">
        <f t="shared" si="15"/>
        <v>57003.499999999978</v>
      </c>
      <c r="M344" s="25"/>
    </row>
    <row r="345" spans="2:13" x14ac:dyDescent="0.2">
      <c r="B345" s="91" t="s">
        <v>1</v>
      </c>
      <c r="C345" s="92" t="s">
        <v>57</v>
      </c>
      <c r="D345" s="92" t="s">
        <v>2</v>
      </c>
      <c r="E345" s="402" t="s">
        <v>3</v>
      </c>
      <c r="F345" s="402" t="s">
        <v>4</v>
      </c>
      <c r="G345" s="561" t="s">
        <v>58</v>
      </c>
      <c r="H345" s="562"/>
      <c r="I345" s="562"/>
      <c r="J345" s="563"/>
      <c r="K345" s="90"/>
      <c r="L345" s="63">
        <f t="shared" si="15"/>
        <v>57003.499999999978</v>
      </c>
      <c r="M345" s="25"/>
    </row>
    <row r="346" spans="2:13" ht="24.75" customHeight="1" x14ac:dyDescent="0.2">
      <c r="B346" s="64">
        <v>43602</v>
      </c>
      <c r="C346" s="349" t="s">
        <v>593</v>
      </c>
      <c r="D346" s="349"/>
      <c r="E346" s="3"/>
      <c r="F346" s="16"/>
      <c r="G346" s="571" t="s">
        <v>594</v>
      </c>
      <c r="H346" s="572"/>
      <c r="I346" s="573"/>
      <c r="J346" s="349"/>
      <c r="K346" s="70"/>
      <c r="L346" s="63">
        <f t="shared" si="15"/>
        <v>57003.499999999978</v>
      </c>
      <c r="M346" s="25"/>
    </row>
    <row r="347" spans="2:13" x14ac:dyDescent="0.2">
      <c r="B347" s="10"/>
      <c r="C347" s="77"/>
      <c r="D347" s="77"/>
      <c r="E347" s="3"/>
      <c r="F347" s="16"/>
      <c r="G347" s="81"/>
      <c r="H347" s="568" t="s">
        <v>577</v>
      </c>
      <c r="I347" s="570"/>
      <c r="J347" s="349"/>
      <c r="K347" s="70">
        <v>1700</v>
      </c>
      <c r="L347" s="63">
        <f t="shared" si="15"/>
        <v>55303.499999999978</v>
      </c>
      <c r="M347" s="25"/>
    </row>
    <row r="348" spans="2:13" x14ac:dyDescent="0.2">
      <c r="B348" s="64"/>
      <c r="C348" s="77"/>
      <c r="D348" s="78"/>
      <c r="E348" s="3"/>
      <c r="F348" s="16"/>
      <c r="G348" s="81"/>
      <c r="H348" s="568" t="s">
        <v>578</v>
      </c>
      <c r="I348" s="570"/>
      <c r="J348" s="12"/>
      <c r="K348" s="12">
        <v>950</v>
      </c>
      <c r="L348" s="63">
        <f t="shared" si="15"/>
        <v>54353.499999999978</v>
      </c>
      <c r="M348" s="25"/>
    </row>
    <row r="349" spans="2:13" x14ac:dyDescent="0.2">
      <c r="B349" s="64"/>
      <c r="C349" s="78"/>
      <c r="D349" s="78"/>
      <c r="E349" s="3"/>
      <c r="F349" s="16"/>
      <c r="G349" s="69"/>
      <c r="H349" s="568" t="s">
        <v>579</v>
      </c>
      <c r="I349" s="570"/>
      <c r="J349" s="12"/>
      <c r="K349" s="12">
        <v>850</v>
      </c>
      <c r="L349" s="63">
        <f t="shared" si="15"/>
        <v>53503.499999999978</v>
      </c>
      <c r="M349" s="25"/>
    </row>
    <row r="350" spans="2:13" ht="37.5" customHeight="1" x14ac:dyDescent="0.2">
      <c r="B350" s="64">
        <v>43602</v>
      </c>
      <c r="C350" s="77" t="s">
        <v>595</v>
      </c>
      <c r="D350" s="78"/>
      <c r="E350" s="3"/>
      <c r="F350" s="16"/>
      <c r="G350" s="574" t="s">
        <v>596</v>
      </c>
      <c r="H350" s="575"/>
      <c r="I350" s="576"/>
      <c r="J350" s="12"/>
      <c r="K350" s="12">
        <v>800</v>
      </c>
      <c r="L350" s="63">
        <f t="shared" si="15"/>
        <v>52703.499999999978</v>
      </c>
      <c r="M350" s="25"/>
    </row>
    <row r="351" spans="2:13" x14ac:dyDescent="0.2">
      <c r="B351" s="64">
        <v>43581</v>
      </c>
      <c r="C351" s="77" t="s">
        <v>587</v>
      </c>
      <c r="D351" s="78"/>
      <c r="E351" s="3"/>
      <c r="F351" s="16"/>
      <c r="G351" s="574" t="s">
        <v>611</v>
      </c>
      <c r="H351" s="575"/>
      <c r="I351" s="576"/>
      <c r="J351" s="12"/>
      <c r="K351" s="12"/>
      <c r="L351" s="63">
        <f t="shared" si="15"/>
        <v>52703.499999999978</v>
      </c>
      <c r="M351" s="25"/>
    </row>
    <row r="352" spans="2:13" x14ac:dyDescent="0.2">
      <c r="B352" s="64"/>
      <c r="C352" s="78"/>
      <c r="D352" s="78"/>
      <c r="E352" s="3"/>
      <c r="F352" s="16"/>
      <c r="G352" s="81"/>
      <c r="H352" s="62"/>
      <c r="I352" s="12" t="s">
        <v>243</v>
      </c>
      <c r="J352" s="12"/>
      <c r="K352" s="12">
        <v>2437.73</v>
      </c>
      <c r="L352" s="63">
        <f t="shared" si="15"/>
        <v>50265.769999999975</v>
      </c>
      <c r="M352" s="25"/>
    </row>
    <row r="353" spans="2:13" x14ac:dyDescent="0.2">
      <c r="B353" s="64"/>
      <c r="C353" s="78"/>
      <c r="D353" s="78"/>
      <c r="E353" s="3"/>
      <c r="F353" s="16"/>
      <c r="G353" s="81"/>
      <c r="H353" s="62"/>
      <c r="I353" s="12" t="s">
        <v>249</v>
      </c>
      <c r="J353" s="12"/>
      <c r="K353" s="12">
        <v>3250.31</v>
      </c>
      <c r="L353" s="63">
        <f t="shared" si="15"/>
        <v>47015.459999999977</v>
      </c>
      <c r="M353" s="25"/>
    </row>
    <row r="354" spans="2:13" x14ac:dyDescent="0.2">
      <c r="B354" s="64"/>
      <c r="C354" s="78"/>
      <c r="D354" s="78"/>
      <c r="E354" s="3"/>
      <c r="F354" s="16"/>
      <c r="G354" s="81"/>
      <c r="H354" s="62"/>
      <c r="I354" s="12" t="s">
        <v>64</v>
      </c>
      <c r="J354" s="12"/>
      <c r="K354" s="12">
        <v>1218.8599999999999</v>
      </c>
      <c r="L354" s="63">
        <f t="shared" si="15"/>
        <v>45796.599999999977</v>
      </c>
      <c r="M354" s="25"/>
    </row>
    <row r="355" spans="2:13" x14ac:dyDescent="0.2">
      <c r="B355" s="64"/>
      <c r="C355" s="78"/>
      <c r="D355" s="78"/>
      <c r="E355" s="3"/>
      <c r="F355" s="16"/>
      <c r="G355" s="81"/>
      <c r="H355" s="62"/>
      <c r="I355" s="12" t="s">
        <v>65</v>
      </c>
      <c r="J355" s="12"/>
      <c r="K355" s="12">
        <v>1218.8599999999999</v>
      </c>
      <c r="L355" s="63">
        <f t="shared" si="15"/>
        <v>44577.739999999976</v>
      </c>
      <c r="M355" s="25"/>
    </row>
    <row r="356" spans="2:13" x14ac:dyDescent="0.2">
      <c r="B356" s="64"/>
      <c r="C356" s="78"/>
      <c r="D356" s="78"/>
      <c r="E356" s="3"/>
      <c r="F356" s="16"/>
      <c r="G356" s="81"/>
      <c r="H356" s="62"/>
      <c r="I356" s="12"/>
      <c r="J356" s="12"/>
      <c r="K356" s="12"/>
      <c r="L356" s="63">
        <f t="shared" si="15"/>
        <v>44577.739999999976</v>
      </c>
      <c r="M356" s="25"/>
    </row>
    <row r="357" spans="2:13" ht="12.75" thickBot="1" x14ac:dyDescent="0.25">
      <c r="B357" s="64"/>
      <c r="C357" s="65"/>
      <c r="D357" s="65"/>
      <c r="E357" s="13"/>
      <c r="F357" s="13"/>
      <c r="G357" s="104"/>
      <c r="H357" s="84"/>
      <c r="I357" s="12"/>
      <c r="J357" s="12"/>
      <c r="K357" s="12"/>
      <c r="L357" s="63"/>
      <c r="M357" s="25"/>
    </row>
    <row r="358" spans="2:13" x14ac:dyDescent="0.2">
      <c r="B358" s="56"/>
      <c r="C358" s="57"/>
      <c r="D358" s="57"/>
      <c r="E358" s="5"/>
      <c r="F358" s="5"/>
      <c r="G358" s="85" t="s">
        <v>26</v>
      </c>
      <c r="H358" s="107">
        <f>SUM(H302:H340)</f>
        <v>17198</v>
      </c>
      <c r="I358" s="105">
        <f>SUM(I302:I340)</f>
        <v>5503.36</v>
      </c>
      <c r="J358" s="106">
        <f>SUM(J302:J340)</f>
        <v>11694.640000000005</v>
      </c>
      <c r="K358" s="106">
        <f>SUM(K346:K356)</f>
        <v>12425.76</v>
      </c>
      <c r="L358" s="108"/>
      <c r="M358" s="25"/>
    </row>
    <row r="359" spans="2:13" ht="12.75" thickBot="1" x14ac:dyDescent="0.25">
      <c r="B359" s="71"/>
      <c r="C359" s="72"/>
      <c r="D359" s="72"/>
      <c r="E359" s="73"/>
      <c r="F359" s="73"/>
      <c r="G359" s="86" t="s">
        <v>13</v>
      </c>
      <c r="H359" s="100"/>
      <c r="I359" s="99"/>
      <c r="J359" s="87"/>
      <c r="K359" s="87"/>
      <c r="L359" s="88">
        <f>+J358-K358+L301</f>
        <v>44577.740000000013</v>
      </c>
      <c r="M359" s="25"/>
    </row>
    <row r="360" spans="2:13" x14ac:dyDescent="0.2">
      <c r="B360" s="25"/>
      <c r="H360" s="74"/>
      <c r="I360" s="25"/>
      <c r="L360" s="25"/>
      <c r="M360" s="25"/>
    </row>
    <row r="361" spans="2:13" x14ac:dyDescent="0.2">
      <c r="B361" s="544" t="s">
        <v>48</v>
      </c>
      <c r="C361" s="545"/>
      <c r="D361" s="545"/>
      <c r="E361" s="545"/>
      <c r="F361" s="545"/>
      <c r="G361" s="545"/>
      <c r="H361" s="545"/>
      <c r="I361" s="545"/>
      <c r="J361" s="545"/>
      <c r="K361" s="545"/>
      <c r="L361" s="546"/>
      <c r="M361" s="25"/>
    </row>
    <row r="362" spans="2:13" x14ac:dyDescent="0.2">
      <c r="B362" s="547" t="s">
        <v>613</v>
      </c>
      <c r="C362" s="548"/>
      <c r="D362" s="548"/>
      <c r="E362" s="548"/>
      <c r="F362" s="548"/>
      <c r="G362" s="548"/>
      <c r="H362" s="548"/>
      <c r="I362" s="548"/>
      <c r="J362" s="548"/>
      <c r="K362" s="548"/>
      <c r="L362" s="549"/>
      <c r="M362" s="25"/>
    </row>
    <row r="363" spans="2:13" x14ac:dyDescent="0.2">
      <c r="B363" s="550" t="s">
        <v>50</v>
      </c>
      <c r="C363" s="550"/>
      <c r="D363" s="551" t="s">
        <v>51</v>
      </c>
      <c r="E363" s="551"/>
      <c r="F363" s="551"/>
      <c r="G363" s="400"/>
      <c r="H363" s="400"/>
      <c r="I363" s="400"/>
      <c r="J363" s="400"/>
      <c r="K363" s="400"/>
      <c r="L363" s="401"/>
      <c r="M363" s="25"/>
    </row>
    <row r="364" spans="2:13" ht="24" x14ac:dyDescent="0.2">
      <c r="B364" s="56" t="s">
        <v>1</v>
      </c>
      <c r="C364" s="57" t="s">
        <v>2</v>
      </c>
      <c r="D364" s="57" t="s">
        <v>2</v>
      </c>
      <c r="E364" s="5" t="s">
        <v>3</v>
      </c>
      <c r="F364" s="5" t="s">
        <v>4</v>
      </c>
      <c r="G364" s="89" t="s">
        <v>6</v>
      </c>
      <c r="H364" s="83" t="s">
        <v>7</v>
      </c>
      <c r="I364" s="83" t="s">
        <v>52</v>
      </c>
      <c r="J364" s="83" t="s">
        <v>53</v>
      </c>
      <c r="K364" s="5" t="s">
        <v>10</v>
      </c>
      <c r="L364" s="5" t="s">
        <v>11</v>
      </c>
      <c r="M364" s="25"/>
    </row>
    <row r="365" spans="2:13" x14ac:dyDescent="0.2">
      <c r="B365" s="58"/>
      <c r="C365" s="59"/>
      <c r="D365" s="59"/>
      <c r="E365" s="13"/>
      <c r="F365" s="13"/>
      <c r="G365" s="24"/>
      <c r="H365" s="60"/>
      <c r="I365" s="61"/>
      <c r="J365" s="61"/>
      <c r="K365" s="61"/>
      <c r="L365" s="60">
        <f>L359</f>
        <v>44577.740000000013</v>
      </c>
      <c r="M365" s="25"/>
    </row>
    <row r="366" spans="2:13" x14ac:dyDescent="0.2">
      <c r="B366" s="110">
        <v>43619</v>
      </c>
      <c r="C366" s="353" t="s">
        <v>612</v>
      </c>
      <c r="D366" s="11"/>
      <c r="E366" s="15"/>
      <c r="F366" s="15"/>
      <c r="G366" s="15" t="s">
        <v>616</v>
      </c>
      <c r="H366" s="112">
        <v>100</v>
      </c>
      <c r="I366" s="12">
        <f>H366*0.32</f>
        <v>32</v>
      </c>
      <c r="J366" s="12">
        <f>H366*0.68</f>
        <v>68</v>
      </c>
      <c r="K366" s="12"/>
      <c r="L366" s="63">
        <f>+J366-K366+L365</f>
        <v>44645.740000000013</v>
      </c>
      <c r="M366" s="25"/>
    </row>
    <row r="367" spans="2:13" x14ac:dyDescent="0.2">
      <c r="B367" s="110">
        <v>43620</v>
      </c>
      <c r="C367" s="353" t="s">
        <v>612</v>
      </c>
      <c r="D367" s="11"/>
      <c r="E367" s="15"/>
      <c r="F367" s="15"/>
      <c r="G367" s="15" t="s">
        <v>616</v>
      </c>
      <c r="H367" s="112">
        <v>308</v>
      </c>
      <c r="I367" s="12">
        <f t="shared" ref="I367:I397" si="16">H367*0.32</f>
        <v>98.56</v>
      </c>
      <c r="J367" s="12">
        <f t="shared" ref="J367:J397" si="17">H367*0.68</f>
        <v>209.44000000000003</v>
      </c>
      <c r="K367" s="12"/>
      <c r="L367" s="63">
        <f>+J367-K367+L366</f>
        <v>44855.180000000015</v>
      </c>
      <c r="M367" s="25"/>
    </row>
    <row r="368" spans="2:13" x14ac:dyDescent="0.2">
      <c r="B368" s="110">
        <v>43622</v>
      </c>
      <c r="C368" s="353" t="s">
        <v>612</v>
      </c>
      <c r="D368" s="11"/>
      <c r="E368" s="15"/>
      <c r="F368" s="15"/>
      <c r="G368" s="15" t="s">
        <v>616</v>
      </c>
      <c r="H368" s="112">
        <v>144</v>
      </c>
      <c r="I368" s="12">
        <f t="shared" si="16"/>
        <v>46.08</v>
      </c>
      <c r="J368" s="12">
        <f t="shared" si="17"/>
        <v>97.92</v>
      </c>
      <c r="K368" s="12"/>
      <c r="L368" s="63">
        <f>+J368-K368+L367</f>
        <v>44953.100000000013</v>
      </c>
      <c r="M368" s="25"/>
    </row>
    <row r="369" spans="2:13" x14ac:dyDescent="0.2">
      <c r="B369" s="110">
        <v>43623</v>
      </c>
      <c r="C369" s="353" t="s">
        <v>612</v>
      </c>
      <c r="D369" s="77"/>
      <c r="E369" s="15"/>
      <c r="F369" s="15"/>
      <c r="G369" s="15" t="s">
        <v>616</v>
      </c>
      <c r="H369" s="112">
        <v>0</v>
      </c>
      <c r="I369" s="12">
        <f t="shared" si="16"/>
        <v>0</v>
      </c>
      <c r="J369" s="12">
        <f t="shared" si="17"/>
        <v>0</v>
      </c>
      <c r="K369" s="12"/>
      <c r="L369" s="63">
        <f>+J369-K369+L368</f>
        <v>44953.100000000013</v>
      </c>
      <c r="M369" s="25"/>
    </row>
    <row r="370" spans="2:13" x14ac:dyDescent="0.2">
      <c r="B370" s="110">
        <v>43624</v>
      </c>
      <c r="C370" s="353" t="s">
        <v>612</v>
      </c>
      <c r="D370" s="11"/>
      <c r="E370" s="15"/>
      <c r="F370" s="15"/>
      <c r="G370" s="15" t="s">
        <v>616</v>
      </c>
      <c r="H370" s="112">
        <v>308</v>
      </c>
      <c r="I370" s="12">
        <f t="shared" si="16"/>
        <v>98.56</v>
      </c>
      <c r="J370" s="12">
        <f t="shared" si="17"/>
        <v>209.44000000000003</v>
      </c>
      <c r="K370" s="12"/>
      <c r="L370" s="63">
        <f t="shared" ref="L370:L419" si="18">+J370-K370+L369</f>
        <v>45162.540000000015</v>
      </c>
      <c r="M370" s="25"/>
    </row>
    <row r="371" spans="2:13" x14ac:dyDescent="0.2">
      <c r="B371" s="110">
        <v>43626</v>
      </c>
      <c r="C371" s="353" t="s">
        <v>612</v>
      </c>
      <c r="D371" s="11"/>
      <c r="E371" s="15"/>
      <c r="F371" s="15"/>
      <c r="G371" s="15" t="s">
        <v>616</v>
      </c>
      <c r="H371" s="112">
        <v>308</v>
      </c>
      <c r="I371" s="12">
        <f t="shared" si="16"/>
        <v>98.56</v>
      </c>
      <c r="J371" s="12">
        <f t="shared" si="17"/>
        <v>209.44000000000003</v>
      </c>
      <c r="K371" s="12"/>
      <c r="L371" s="63">
        <f t="shared" si="18"/>
        <v>45371.980000000018</v>
      </c>
      <c r="M371" s="25"/>
    </row>
    <row r="372" spans="2:13" x14ac:dyDescent="0.2">
      <c r="B372" s="110">
        <v>43627</v>
      </c>
      <c r="C372" s="353" t="s">
        <v>612</v>
      </c>
      <c r="D372" s="11"/>
      <c r="E372" s="15"/>
      <c r="F372" s="15"/>
      <c r="G372" s="15" t="s">
        <v>616</v>
      </c>
      <c r="H372" s="112">
        <f>383-15</f>
        <v>368</v>
      </c>
      <c r="I372" s="12">
        <f t="shared" si="16"/>
        <v>117.76</v>
      </c>
      <c r="J372" s="12">
        <f t="shared" si="17"/>
        <v>250.24</v>
      </c>
      <c r="K372" s="12"/>
      <c r="L372" s="63">
        <f t="shared" si="18"/>
        <v>45622.220000000016</v>
      </c>
      <c r="M372" s="25"/>
    </row>
    <row r="373" spans="2:13" x14ac:dyDescent="0.2">
      <c r="B373" s="110">
        <v>43628</v>
      </c>
      <c r="C373" s="353" t="s">
        <v>612</v>
      </c>
      <c r="D373" s="11"/>
      <c r="E373" s="15"/>
      <c r="F373" s="15"/>
      <c r="G373" s="15" t="s">
        <v>616</v>
      </c>
      <c r="H373" s="112">
        <v>328</v>
      </c>
      <c r="I373" s="12">
        <f t="shared" si="16"/>
        <v>104.96000000000001</v>
      </c>
      <c r="J373" s="12">
        <f t="shared" si="17"/>
        <v>223.04000000000002</v>
      </c>
      <c r="K373" s="12"/>
      <c r="L373" s="63">
        <f t="shared" si="18"/>
        <v>45845.260000000017</v>
      </c>
      <c r="M373" s="25"/>
    </row>
    <row r="374" spans="2:13" x14ac:dyDescent="0.2">
      <c r="B374" s="110">
        <v>43630</v>
      </c>
      <c r="C374" s="353" t="s">
        <v>612</v>
      </c>
      <c r="D374" s="11"/>
      <c r="E374" s="15"/>
      <c r="F374" s="15"/>
      <c r="G374" s="15" t="s">
        <v>616</v>
      </c>
      <c r="H374" s="112">
        <v>452</v>
      </c>
      <c r="I374" s="12">
        <f t="shared" si="16"/>
        <v>144.64000000000001</v>
      </c>
      <c r="J374" s="12">
        <f t="shared" si="17"/>
        <v>307.36</v>
      </c>
      <c r="K374" s="12"/>
      <c r="L374" s="63">
        <f t="shared" si="18"/>
        <v>46152.620000000017</v>
      </c>
      <c r="M374" s="25"/>
    </row>
    <row r="375" spans="2:13" x14ac:dyDescent="0.2">
      <c r="B375" s="110">
        <v>43633</v>
      </c>
      <c r="C375" s="353" t="s">
        <v>612</v>
      </c>
      <c r="D375" s="65"/>
      <c r="E375" s="13"/>
      <c r="F375" s="15"/>
      <c r="G375" s="15" t="s">
        <v>616</v>
      </c>
      <c r="H375" s="112">
        <v>1012</v>
      </c>
      <c r="I375" s="12">
        <f t="shared" si="16"/>
        <v>323.84000000000003</v>
      </c>
      <c r="J375" s="12">
        <f t="shared" si="17"/>
        <v>688.16000000000008</v>
      </c>
      <c r="K375" s="12"/>
      <c r="L375" s="63">
        <f t="shared" si="18"/>
        <v>46840.780000000021</v>
      </c>
      <c r="M375" s="25"/>
    </row>
    <row r="376" spans="2:13" x14ac:dyDescent="0.2">
      <c r="B376" s="110">
        <v>43634</v>
      </c>
      <c r="C376" s="353" t="s">
        <v>612</v>
      </c>
      <c r="D376" s="65"/>
      <c r="E376" s="13"/>
      <c r="F376" s="15"/>
      <c r="G376" s="15" t="s">
        <v>616</v>
      </c>
      <c r="H376" s="112">
        <v>1084</v>
      </c>
      <c r="I376" s="12">
        <f t="shared" si="16"/>
        <v>346.88</v>
      </c>
      <c r="J376" s="12">
        <f t="shared" si="17"/>
        <v>737.12</v>
      </c>
      <c r="K376" s="12"/>
      <c r="L376" s="63">
        <f t="shared" si="18"/>
        <v>47577.900000000023</v>
      </c>
      <c r="M376" s="25"/>
    </row>
    <row r="377" spans="2:13" x14ac:dyDescent="0.2">
      <c r="B377" s="110">
        <v>43635</v>
      </c>
      <c r="C377" s="353" t="s">
        <v>612</v>
      </c>
      <c r="D377" s="65"/>
      <c r="E377" s="13"/>
      <c r="F377" s="15"/>
      <c r="G377" s="15" t="s">
        <v>616</v>
      </c>
      <c r="H377" s="112">
        <v>596</v>
      </c>
      <c r="I377" s="12">
        <f t="shared" si="16"/>
        <v>190.72</v>
      </c>
      <c r="J377" s="12">
        <f t="shared" si="17"/>
        <v>405.28000000000003</v>
      </c>
      <c r="K377" s="12"/>
      <c r="L377" s="63">
        <f t="shared" si="18"/>
        <v>47983.180000000022</v>
      </c>
      <c r="M377" s="25"/>
    </row>
    <row r="378" spans="2:13" x14ac:dyDescent="0.2">
      <c r="B378" s="110">
        <v>43636</v>
      </c>
      <c r="C378" s="353" t="s">
        <v>612</v>
      </c>
      <c r="D378" s="65"/>
      <c r="E378" s="13"/>
      <c r="F378" s="15"/>
      <c r="G378" s="15" t="s">
        <v>616</v>
      </c>
      <c r="H378" s="112">
        <v>760</v>
      </c>
      <c r="I378" s="12">
        <f t="shared" si="16"/>
        <v>243.20000000000002</v>
      </c>
      <c r="J378" s="12">
        <f t="shared" si="17"/>
        <v>516.80000000000007</v>
      </c>
      <c r="K378" s="12"/>
      <c r="L378" s="63">
        <f t="shared" si="18"/>
        <v>48499.980000000025</v>
      </c>
      <c r="M378" s="25"/>
    </row>
    <row r="379" spans="2:13" x14ac:dyDescent="0.2">
      <c r="B379" s="110">
        <v>43637</v>
      </c>
      <c r="C379" s="353"/>
      <c r="D379" s="65"/>
      <c r="E379" s="13"/>
      <c r="F379" s="15"/>
      <c r="G379" s="15" t="s">
        <v>434</v>
      </c>
      <c r="H379" s="112">
        <f>666-50</f>
        <v>616</v>
      </c>
      <c r="I379" s="12">
        <f t="shared" si="16"/>
        <v>197.12</v>
      </c>
      <c r="J379" s="12">
        <f t="shared" si="17"/>
        <v>418.88000000000005</v>
      </c>
      <c r="K379" s="12"/>
      <c r="L379" s="63">
        <f t="shared" si="18"/>
        <v>48918.860000000022</v>
      </c>
      <c r="M379" s="25"/>
    </row>
    <row r="380" spans="2:13" x14ac:dyDescent="0.2">
      <c r="B380" s="110">
        <v>43641</v>
      </c>
      <c r="C380" s="353"/>
      <c r="D380" s="65"/>
      <c r="E380" s="13"/>
      <c r="F380" s="15"/>
      <c r="G380" s="15" t="s">
        <v>434</v>
      </c>
      <c r="H380" s="112">
        <v>144</v>
      </c>
      <c r="I380" s="12">
        <f t="shared" si="16"/>
        <v>46.08</v>
      </c>
      <c r="J380" s="12">
        <f t="shared" si="17"/>
        <v>97.92</v>
      </c>
      <c r="K380" s="12"/>
      <c r="L380" s="63">
        <f t="shared" si="18"/>
        <v>49016.780000000021</v>
      </c>
      <c r="M380" s="25"/>
    </row>
    <row r="381" spans="2:13" x14ac:dyDescent="0.2">
      <c r="B381" s="110">
        <v>43642</v>
      </c>
      <c r="C381" s="353"/>
      <c r="D381" s="65"/>
      <c r="E381" s="13"/>
      <c r="F381" s="15"/>
      <c r="G381" s="15" t="s">
        <v>434</v>
      </c>
      <c r="H381" s="112">
        <v>616</v>
      </c>
      <c r="I381" s="12">
        <f t="shared" si="16"/>
        <v>197.12</v>
      </c>
      <c r="J381" s="12">
        <f t="shared" si="17"/>
        <v>418.88000000000005</v>
      </c>
      <c r="K381" s="12"/>
      <c r="L381" s="63">
        <f t="shared" si="18"/>
        <v>49435.660000000018</v>
      </c>
      <c r="M381" s="25"/>
    </row>
    <row r="382" spans="2:13" x14ac:dyDescent="0.2">
      <c r="B382" s="110">
        <v>43644</v>
      </c>
      <c r="C382" s="353"/>
      <c r="D382" s="65"/>
      <c r="E382" s="13"/>
      <c r="F382" s="15"/>
      <c r="G382" s="15" t="s">
        <v>434</v>
      </c>
      <c r="H382" s="112">
        <v>170</v>
      </c>
      <c r="I382" s="12">
        <f t="shared" si="16"/>
        <v>54.4</v>
      </c>
      <c r="J382" s="12">
        <f t="shared" si="17"/>
        <v>115.60000000000001</v>
      </c>
      <c r="K382" s="12"/>
      <c r="L382" s="63">
        <f t="shared" si="18"/>
        <v>49551.260000000017</v>
      </c>
      <c r="M382" s="25"/>
    </row>
    <row r="383" spans="2:13" x14ac:dyDescent="0.2">
      <c r="B383" s="110">
        <v>43619</v>
      </c>
      <c r="C383" s="353"/>
      <c r="D383" s="65"/>
      <c r="E383" s="13"/>
      <c r="F383" s="15"/>
      <c r="G383" s="15"/>
      <c r="H383" s="112">
        <v>328</v>
      </c>
      <c r="I383" s="12">
        <f t="shared" si="16"/>
        <v>104.96000000000001</v>
      </c>
      <c r="J383" s="12">
        <f t="shared" si="17"/>
        <v>223.04000000000002</v>
      </c>
      <c r="K383" s="12"/>
      <c r="L383" s="63">
        <f t="shared" si="18"/>
        <v>49774.300000000017</v>
      </c>
      <c r="M383" s="25"/>
    </row>
    <row r="384" spans="2:13" x14ac:dyDescent="0.2">
      <c r="B384" s="110">
        <v>43620</v>
      </c>
      <c r="C384" s="353"/>
      <c r="D384" s="65"/>
      <c r="E384" s="13"/>
      <c r="F384" s="15"/>
      <c r="G384" s="15"/>
      <c r="H384" s="112">
        <v>736</v>
      </c>
      <c r="I384" s="12">
        <f t="shared" si="16"/>
        <v>235.52</v>
      </c>
      <c r="J384" s="12">
        <f t="shared" si="17"/>
        <v>500.48</v>
      </c>
      <c r="K384" s="12"/>
      <c r="L384" s="63">
        <f t="shared" si="18"/>
        <v>50274.780000000021</v>
      </c>
      <c r="M384" s="25"/>
    </row>
    <row r="385" spans="2:13" x14ac:dyDescent="0.2">
      <c r="B385" s="110">
        <v>43623</v>
      </c>
      <c r="C385" s="353"/>
      <c r="D385" s="65"/>
      <c r="E385" s="13"/>
      <c r="F385" s="15"/>
      <c r="G385" s="15"/>
      <c r="H385" s="112">
        <v>140</v>
      </c>
      <c r="I385" s="12">
        <f t="shared" si="16"/>
        <v>44.800000000000004</v>
      </c>
      <c r="J385" s="12">
        <f t="shared" si="17"/>
        <v>95.2</v>
      </c>
      <c r="K385" s="12"/>
      <c r="L385" s="63">
        <f t="shared" si="18"/>
        <v>50369.980000000018</v>
      </c>
      <c r="M385" s="25"/>
    </row>
    <row r="386" spans="2:13" x14ac:dyDescent="0.2">
      <c r="B386" s="110">
        <v>43687</v>
      </c>
      <c r="C386" s="353"/>
      <c r="D386" s="65"/>
      <c r="E386" s="13"/>
      <c r="F386" s="15"/>
      <c r="G386" s="15"/>
      <c r="H386" s="112">
        <v>308</v>
      </c>
      <c r="I386" s="12">
        <f t="shared" si="16"/>
        <v>98.56</v>
      </c>
      <c r="J386" s="12">
        <f t="shared" si="17"/>
        <v>209.44000000000003</v>
      </c>
      <c r="K386" s="12"/>
      <c r="L386" s="63">
        <f t="shared" si="18"/>
        <v>50579.42000000002</v>
      </c>
      <c r="M386" s="25"/>
    </row>
    <row r="387" spans="2:13" x14ac:dyDescent="0.2">
      <c r="B387" s="110">
        <v>43628</v>
      </c>
      <c r="C387" s="353"/>
      <c r="D387" s="65"/>
      <c r="E387" s="13"/>
      <c r="F387" s="15"/>
      <c r="G387" s="15"/>
      <c r="H387" s="112">
        <v>144</v>
      </c>
      <c r="I387" s="12">
        <f t="shared" si="16"/>
        <v>46.08</v>
      </c>
      <c r="J387" s="12">
        <f t="shared" si="17"/>
        <v>97.92</v>
      </c>
      <c r="K387" s="12"/>
      <c r="L387" s="63">
        <f t="shared" si="18"/>
        <v>50677.340000000018</v>
      </c>
      <c r="M387" s="25"/>
    </row>
    <row r="388" spans="2:13" x14ac:dyDescent="0.2">
      <c r="B388" s="110">
        <v>43633</v>
      </c>
      <c r="C388" s="353"/>
      <c r="D388" s="65"/>
      <c r="E388" s="13"/>
      <c r="F388" s="15"/>
      <c r="G388" s="15"/>
      <c r="H388" s="112">
        <v>20</v>
      </c>
      <c r="I388" s="12">
        <f t="shared" si="16"/>
        <v>6.4</v>
      </c>
      <c r="J388" s="12">
        <f t="shared" si="17"/>
        <v>13.600000000000001</v>
      </c>
      <c r="K388" s="12"/>
      <c r="L388" s="63">
        <f t="shared" si="18"/>
        <v>50690.940000000017</v>
      </c>
      <c r="M388" s="25"/>
    </row>
    <row r="389" spans="2:13" x14ac:dyDescent="0.2">
      <c r="B389" s="110">
        <v>43634</v>
      </c>
      <c r="C389" s="353"/>
      <c r="D389" s="65"/>
      <c r="E389" s="13"/>
      <c r="F389" s="15"/>
      <c r="G389" s="15"/>
      <c r="H389" s="112">
        <v>164</v>
      </c>
      <c r="I389" s="12">
        <f t="shared" si="16"/>
        <v>52.480000000000004</v>
      </c>
      <c r="J389" s="12">
        <f t="shared" si="17"/>
        <v>111.52000000000001</v>
      </c>
      <c r="K389" s="12"/>
      <c r="L389" s="63">
        <f t="shared" si="18"/>
        <v>50802.460000000014</v>
      </c>
      <c r="M389" s="25"/>
    </row>
    <row r="390" spans="2:13" x14ac:dyDescent="0.2">
      <c r="B390" s="110">
        <v>43637</v>
      </c>
      <c r="C390" s="353"/>
      <c r="D390" s="65"/>
      <c r="E390" s="13"/>
      <c r="F390" s="15"/>
      <c r="G390" s="15"/>
      <c r="H390" s="112">
        <v>368</v>
      </c>
      <c r="I390" s="12">
        <f t="shared" si="16"/>
        <v>117.76</v>
      </c>
      <c r="J390" s="12">
        <f t="shared" si="17"/>
        <v>250.24</v>
      </c>
      <c r="K390" s="12"/>
      <c r="L390" s="63">
        <f t="shared" si="18"/>
        <v>51052.700000000012</v>
      </c>
      <c r="M390" s="25"/>
    </row>
    <row r="391" spans="2:13" x14ac:dyDescent="0.2">
      <c r="B391" s="110">
        <v>43642</v>
      </c>
      <c r="C391" s="353"/>
      <c r="D391" s="65"/>
      <c r="E391" s="13"/>
      <c r="F391" s="15"/>
      <c r="G391" s="15"/>
      <c r="H391" s="112">
        <v>452</v>
      </c>
      <c r="I391" s="12">
        <f t="shared" si="16"/>
        <v>144.64000000000001</v>
      </c>
      <c r="J391" s="12">
        <f t="shared" si="17"/>
        <v>307.36</v>
      </c>
      <c r="K391" s="12"/>
      <c r="L391" s="63">
        <f t="shared" si="18"/>
        <v>51360.060000000012</v>
      </c>
      <c r="M391" s="25"/>
    </row>
    <row r="392" spans="2:13" x14ac:dyDescent="0.2">
      <c r="B392" s="110">
        <v>43643</v>
      </c>
      <c r="C392" s="353"/>
      <c r="D392" s="65"/>
      <c r="E392" s="13"/>
      <c r="F392" s="15"/>
      <c r="G392" s="15"/>
      <c r="H392" s="112">
        <v>452</v>
      </c>
      <c r="I392" s="12">
        <f t="shared" si="16"/>
        <v>144.64000000000001</v>
      </c>
      <c r="J392" s="12">
        <f t="shared" si="17"/>
        <v>307.36</v>
      </c>
      <c r="K392" s="12"/>
      <c r="L392" s="63">
        <f t="shared" si="18"/>
        <v>51667.420000000013</v>
      </c>
      <c r="M392" s="25"/>
    </row>
    <row r="393" spans="2:13" x14ac:dyDescent="0.2">
      <c r="B393" s="110">
        <v>43644</v>
      </c>
      <c r="C393" s="353"/>
      <c r="D393" s="65"/>
      <c r="E393" s="13"/>
      <c r="F393" s="15"/>
      <c r="G393" s="15"/>
      <c r="H393" s="112">
        <v>154</v>
      </c>
      <c r="I393" s="12">
        <f t="shared" si="16"/>
        <v>49.28</v>
      </c>
      <c r="J393" s="12">
        <f t="shared" si="17"/>
        <v>104.72000000000001</v>
      </c>
      <c r="K393" s="12"/>
      <c r="L393" s="63">
        <f t="shared" si="18"/>
        <v>51772.140000000014</v>
      </c>
      <c r="M393" s="25"/>
    </row>
    <row r="394" spans="2:13" x14ac:dyDescent="0.2">
      <c r="B394" s="110">
        <v>43634</v>
      </c>
      <c r="C394" s="353"/>
      <c r="D394" s="65"/>
      <c r="E394" s="13"/>
      <c r="F394" s="15"/>
      <c r="G394" s="15"/>
      <c r="H394" s="112">
        <v>30</v>
      </c>
      <c r="I394" s="12">
        <f t="shared" si="16"/>
        <v>9.6</v>
      </c>
      <c r="J394" s="12">
        <f t="shared" si="17"/>
        <v>20.400000000000002</v>
      </c>
      <c r="K394" s="12"/>
      <c r="L394" s="63">
        <f t="shared" si="18"/>
        <v>51792.540000000015</v>
      </c>
      <c r="M394" s="25"/>
    </row>
    <row r="395" spans="2:13" x14ac:dyDescent="0.2">
      <c r="B395" s="110">
        <v>43630</v>
      </c>
      <c r="C395" s="353"/>
      <c r="D395" s="65"/>
      <c r="E395" s="13"/>
      <c r="F395" s="15"/>
      <c r="G395" s="15"/>
      <c r="H395" s="112">
        <v>144</v>
      </c>
      <c r="I395" s="12">
        <f t="shared" si="16"/>
        <v>46.08</v>
      </c>
      <c r="J395" s="12">
        <f t="shared" si="17"/>
        <v>97.92</v>
      </c>
      <c r="K395" s="12"/>
      <c r="L395" s="63">
        <f t="shared" si="18"/>
        <v>51890.460000000014</v>
      </c>
      <c r="M395" s="25"/>
    </row>
    <row r="396" spans="2:13" x14ac:dyDescent="0.2">
      <c r="B396" s="110"/>
      <c r="C396" s="353"/>
      <c r="D396" s="65"/>
      <c r="E396" s="13"/>
      <c r="F396" s="15"/>
      <c r="G396" s="15"/>
      <c r="H396" s="112"/>
      <c r="I396" s="12">
        <f t="shared" si="16"/>
        <v>0</v>
      </c>
      <c r="J396" s="12">
        <f t="shared" si="17"/>
        <v>0</v>
      </c>
      <c r="K396" s="12"/>
      <c r="L396" s="63">
        <f t="shared" si="18"/>
        <v>51890.460000000014</v>
      </c>
      <c r="M396" s="25"/>
    </row>
    <row r="397" spans="2:13" ht="13.5" customHeight="1" x14ac:dyDescent="0.2">
      <c r="B397" s="110"/>
      <c r="C397" s="353"/>
      <c r="D397" s="65"/>
      <c r="E397" s="13"/>
      <c r="F397" s="15"/>
      <c r="G397" s="15"/>
      <c r="H397" s="112"/>
      <c r="I397" s="12">
        <f t="shared" si="16"/>
        <v>0</v>
      </c>
      <c r="J397" s="12">
        <f t="shared" si="17"/>
        <v>0</v>
      </c>
      <c r="K397" s="12"/>
      <c r="L397" s="63">
        <f t="shared" si="18"/>
        <v>51890.460000000014</v>
      </c>
      <c r="M397" s="25"/>
    </row>
    <row r="398" spans="2:13" x14ac:dyDescent="0.2">
      <c r="B398" s="110"/>
      <c r="C398" s="65"/>
      <c r="D398" s="65"/>
      <c r="E398" s="13"/>
      <c r="F398" s="15"/>
      <c r="G398" s="66"/>
      <c r="H398" s="112"/>
      <c r="I398" s="12"/>
      <c r="J398" s="12"/>
      <c r="K398" s="12"/>
      <c r="L398" s="63">
        <f t="shared" si="18"/>
        <v>51890.460000000014</v>
      </c>
      <c r="M398" s="25"/>
    </row>
    <row r="399" spans="2:13" x14ac:dyDescent="0.2">
      <c r="B399" s="547" t="s">
        <v>256</v>
      </c>
      <c r="C399" s="548"/>
      <c r="D399" s="548"/>
      <c r="E399" s="548"/>
      <c r="F399" s="548"/>
      <c r="G399" s="548"/>
      <c r="H399" s="548"/>
      <c r="I399" s="548"/>
      <c r="J399" s="548"/>
      <c r="K399" s="548"/>
      <c r="L399" s="63">
        <f t="shared" si="18"/>
        <v>51890.460000000014</v>
      </c>
      <c r="M399" s="25"/>
    </row>
    <row r="400" spans="2:13" x14ac:dyDescent="0.2">
      <c r="B400" s="552" t="s">
        <v>56</v>
      </c>
      <c r="C400" s="553"/>
      <c r="D400" s="554" t="s">
        <v>51</v>
      </c>
      <c r="E400" s="554"/>
      <c r="F400" s="554"/>
      <c r="G400" s="94"/>
      <c r="H400" s="95"/>
      <c r="I400" s="96"/>
      <c r="J400" s="96"/>
      <c r="K400" s="97"/>
      <c r="L400" s="63">
        <f t="shared" si="18"/>
        <v>51890.460000000014</v>
      </c>
      <c r="M400" s="25"/>
    </row>
    <row r="401" spans="2:13" x14ac:dyDescent="0.2">
      <c r="B401" s="91" t="s">
        <v>1</v>
      </c>
      <c r="C401" s="92" t="s">
        <v>57</v>
      </c>
      <c r="D401" s="92" t="s">
        <v>2</v>
      </c>
      <c r="E401" s="402" t="s">
        <v>3</v>
      </c>
      <c r="F401" s="402" t="s">
        <v>4</v>
      </c>
      <c r="G401" s="561" t="s">
        <v>58</v>
      </c>
      <c r="H401" s="562"/>
      <c r="I401" s="562"/>
      <c r="J401" s="563"/>
      <c r="K401" s="90"/>
      <c r="L401" s="63">
        <f t="shared" si="18"/>
        <v>51890.460000000014</v>
      </c>
      <c r="M401" s="25"/>
    </row>
    <row r="402" spans="2:13" x14ac:dyDescent="0.2">
      <c r="B402" s="64"/>
      <c r="C402" s="349"/>
      <c r="D402" s="349"/>
      <c r="E402" s="3"/>
      <c r="F402" s="16"/>
      <c r="G402" s="571"/>
      <c r="H402" s="572"/>
      <c r="I402" s="573"/>
      <c r="J402" s="349"/>
      <c r="K402" s="70"/>
      <c r="L402" s="63">
        <f t="shared" si="18"/>
        <v>51890.460000000014</v>
      </c>
      <c r="M402" s="25"/>
    </row>
    <row r="403" spans="2:13" x14ac:dyDescent="0.2">
      <c r="B403" s="64"/>
      <c r="C403" s="78"/>
      <c r="D403" s="78"/>
      <c r="E403" s="3"/>
      <c r="F403" s="16"/>
      <c r="G403" s="81"/>
      <c r="H403" s="62"/>
      <c r="I403" s="12"/>
      <c r="J403" s="12"/>
      <c r="K403" s="12"/>
      <c r="L403" s="63">
        <f t="shared" si="18"/>
        <v>51890.460000000014</v>
      </c>
      <c r="M403" s="25"/>
    </row>
    <row r="404" spans="2:13" x14ac:dyDescent="0.2">
      <c r="B404" s="64">
        <v>43636</v>
      </c>
      <c r="C404" s="78" t="s">
        <v>600</v>
      </c>
      <c r="D404" s="78"/>
      <c r="E404" s="3"/>
      <c r="F404" s="16"/>
      <c r="G404" s="574" t="s">
        <v>603</v>
      </c>
      <c r="H404" s="575"/>
      <c r="I404" s="576"/>
      <c r="J404" s="12"/>
      <c r="K404" s="61">
        <v>1040</v>
      </c>
      <c r="L404" s="63">
        <f t="shared" si="18"/>
        <v>50850.460000000014</v>
      </c>
      <c r="M404" s="25"/>
    </row>
    <row r="405" spans="2:13" x14ac:dyDescent="0.2">
      <c r="B405" s="64">
        <v>43636</v>
      </c>
      <c r="C405" s="78" t="s">
        <v>604</v>
      </c>
      <c r="D405" s="78"/>
      <c r="E405" s="3"/>
      <c r="F405" s="16"/>
      <c r="G405" s="574" t="s">
        <v>601</v>
      </c>
      <c r="H405" s="575"/>
      <c r="I405" s="576"/>
      <c r="J405" s="12"/>
      <c r="K405" s="61">
        <v>1040</v>
      </c>
      <c r="L405" s="63">
        <f t="shared" si="18"/>
        <v>49810.460000000014</v>
      </c>
      <c r="M405" s="25"/>
    </row>
    <row r="406" spans="2:13" x14ac:dyDescent="0.2">
      <c r="B406" s="64"/>
      <c r="C406" s="78"/>
      <c r="D406" s="78"/>
      <c r="E406" s="3"/>
      <c r="F406" s="16"/>
      <c r="G406" s="574" t="s">
        <v>602</v>
      </c>
      <c r="H406" s="575"/>
      <c r="I406" s="576"/>
      <c r="J406" s="12"/>
      <c r="K406" s="61">
        <v>1040</v>
      </c>
      <c r="L406" s="63">
        <f t="shared" si="18"/>
        <v>48770.460000000014</v>
      </c>
      <c r="M406" s="25"/>
    </row>
    <row r="407" spans="2:13" x14ac:dyDescent="0.2">
      <c r="B407" s="64">
        <v>43636</v>
      </c>
      <c r="C407" s="78" t="s">
        <v>606</v>
      </c>
      <c r="D407" s="78"/>
      <c r="E407" s="3"/>
      <c r="F407" s="16"/>
      <c r="G407" s="574" t="s">
        <v>605</v>
      </c>
      <c r="H407" s="575"/>
      <c r="I407" s="576"/>
      <c r="J407" s="12"/>
      <c r="K407" s="61">
        <v>1040</v>
      </c>
      <c r="L407" s="63">
        <f t="shared" si="18"/>
        <v>47730.460000000014</v>
      </c>
      <c r="M407" s="25"/>
    </row>
    <row r="408" spans="2:13" ht="21" customHeight="1" x14ac:dyDescent="0.2">
      <c r="B408" s="64">
        <v>43636</v>
      </c>
      <c r="C408" s="77" t="s">
        <v>607</v>
      </c>
      <c r="D408" s="78"/>
      <c r="E408" s="3"/>
      <c r="F408" s="16"/>
      <c r="G408" s="574" t="s">
        <v>608</v>
      </c>
      <c r="H408" s="575"/>
      <c r="I408" s="576"/>
      <c r="J408" s="12"/>
      <c r="K408" s="12">
        <v>800</v>
      </c>
      <c r="L408" s="63">
        <f t="shared" si="18"/>
        <v>46930.460000000014</v>
      </c>
      <c r="M408" s="25"/>
    </row>
    <row r="409" spans="2:13" x14ac:dyDescent="0.2">
      <c r="B409" s="64">
        <v>43636</v>
      </c>
      <c r="C409" s="349" t="s">
        <v>609</v>
      </c>
      <c r="D409" s="349"/>
      <c r="E409" s="3"/>
      <c r="F409" s="16"/>
      <c r="G409" s="571" t="s">
        <v>610</v>
      </c>
      <c r="H409" s="572"/>
      <c r="I409" s="573"/>
      <c r="J409" s="349"/>
      <c r="K409" s="70"/>
      <c r="L409" s="63">
        <f t="shared" si="18"/>
        <v>46930.460000000014</v>
      </c>
      <c r="M409" s="25"/>
    </row>
    <row r="410" spans="2:13" x14ac:dyDescent="0.2">
      <c r="B410" s="10"/>
      <c r="C410" s="77"/>
      <c r="D410" s="77"/>
      <c r="E410" s="3"/>
      <c r="F410" s="16"/>
      <c r="G410" s="81"/>
      <c r="H410" s="568" t="s">
        <v>577</v>
      </c>
      <c r="I410" s="570"/>
      <c r="J410" s="349"/>
      <c r="K410" s="70">
        <v>1700</v>
      </c>
      <c r="L410" s="63">
        <f t="shared" si="18"/>
        <v>45230.460000000014</v>
      </c>
      <c r="M410" s="25"/>
    </row>
    <row r="411" spans="2:13" x14ac:dyDescent="0.2">
      <c r="B411" s="64"/>
      <c r="C411" s="77"/>
      <c r="D411" s="78"/>
      <c r="E411" s="3"/>
      <c r="F411" s="16"/>
      <c r="G411" s="81"/>
      <c r="H411" s="568" t="s">
        <v>578</v>
      </c>
      <c r="I411" s="570"/>
      <c r="J411" s="12"/>
      <c r="K411" s="12">
        <v>950</v>
      </c>
      <c r="L411" s="63">
        <f t="shared" si="18"/>
        <v>44280.460000000014</v>
      </c>
      <c r="M411" s="25"/>
    </row>
    <row r="412" spans="2:13" x14ac:dyDescent="0.2">
      <c r="B412" s="64"/>
      <c r="C412" s="78"/>
      <c r="D412" s="78"/>
      <c r="E412" s="3"/>
      <c r="F412" s="16"/>
      <c r="G412" s="69"/>
      <c r="H412" s="568" t="s">
        <v>579</v>
      </c>
      <c r="I412" s="570"/>
      <c r="J412" s="12"/>
      <c r="K412" s="12">
        <v>850</v>
      </c>
      <c r="L412" s="63">
        <f t="shared" si="18"/>
        <v>43430.460000000014</v>
      </c>
      <c r="M412" s="25"/>
    </row>
    <row r="413" spans="2:13" x14ac:dyDescent="0.2">
      <c r="B413" s="64"/>
      <c r="C413" s="78"/>
      <c r="D413" s="78"/>
      <c r="E413" s="3"/>
      <c r="F413" s="16"/>
      <c r="G413" s="81"/>
      <c r="H413" s="62"/>
      <c r="I413" s="12"/>
      <c r="J413" s="12"/>
      <c r="K413" s="12"/>
      <c r="L413" s="63">
        <f t="shared" si="18"/>
        <v>43430.460000000014</v>
      </c>
      <c r="M413" s="25"/>
    </row>
    <row r="414" spans="2:13" x14ac:dyDescent="0.2">
      <c r="B414" s="64"/>
      <c r="C414" s="78"/>
      <c r="D414" s="78"/>
      <c r="E414" s="3"/>
      <c r="F414" s="16"/>
      <c r="G414" s="81"/>
      <c r="H414" s="62"/>
      <c r="I414" s="12"/>
      <c r="J414" s="12"/>
      <c r="K414" s="12"/>
      <c r="L414" s="63">
        <f t="shared" si="18"/>
        <v>43430.460000000014</v>
      </c>
      <c r="M414" s="25"/>
    </row>
    <row r="415" spans="2:13" x14ac:dyDescent="0.2">
      <c r="B415" s="64"/>
      <c r="C415" s="78"/>
      <c r="D415" s="78"/>
      <c r="E415" s="3"/>
      <c r="F415" s="16"/>
      <c r="G415" s="81"/>
      <c r="H415" s="62"/>
      <c r="I415" s="12"/>
      <c r="J415" s="12"/>
      <c r="K415" s="12"/>
      <c r="L415" s="63">
        <f t="shared" si="18"/>
        <v>43430.460000000014</v>
      </c>
      <c r="M415" s="25"/>
    </row>
    <row r="416" spans="2:13" x14ac:dyDescent="0.2">
      <c r="B416" s="64"/>
      <c r="C416" s="78"/>
      <c r="D416" s="78"/>
      <c r="E416" s="3"/>
      <c r="F416" s="16"/>
      <c r="G416" s="81"/>
      <c r="H416" s="62"/>
      <c r="I416" s="12"/>
      <c r="J416" s="12"/>
      <c r="K416" s="12"/>
      <c r="L416" s="63">
        <f t="shared" si="18"/>
        <v>43430.460000000014</v>
      </c>
      <c r="M416" s="25"/>
    </row>
    <row r="417" spans="2:13" x14ac:dyDescent="0.2">
      <c r="B417" s="64"/>
      <c r="C417" s="78"/>
      <c r="D417" s="78"/>
      <c r="E417" s="3"/>
      <c r="F417" s="16"/>
      <c r="G417" s="81"/>
      <c r="H417" s="62"/>
      <c r="I417" s="12"/>
      <c r="J417" s="12"/>
      <c r="K417" s="12"/>
      <c r="L417" s="63">
        <f t="shared" si="18"/>
        <v>43430.460000000014</v>
      </c>
      <c r="M417" s="25"/>
    </row>
    <row r="418" spans="2:13" x14ac:dyDescent="0.2">
      <c r="B418" s="64"/>
      <c r="C418" s="65"/>
      <c r="D418" s="65"/>
      <c r="E418" s="13"/>
      <c r="F418" s="13"/>
      <c r="G418" s="81"/>
      <c r="H418" s="62"/>
      <c r="I418" s="12"/>
      <c r="J418" s="12"/>
      <c r="K418" s="12"/>
      <c r="L418" s="63">
        <f t="shared" si="18"/>
        <v>43430.460000000014</v>
      </c>
      <c r="M418" s="25"/>
    </row>
    <row r="419" spans="2:13" x14ac:dyDescent="0.2">
      <c r="B419" s="64"/>
      <c r="C419" s="65"/>
      <c r="D419" s="65"/>
      <c r="E419" s="3"/>
      <c r="F419" s="13"/>
      <c r="G419" s="81"/>
      <c r="H419" s="62"/>
      <c r="I419" s="12"/>
      <c r="J419" s="12"/>
      <c r="K419" s="12"/>
      <c r="L419" s="63">
        <f t="shared" si="18"/>
        <v>43430.460000000014</v>
      </c>
      <c r="M419" s="25"/>
    </row>
    <row r="420" spans="2:13" ht="12.75" thickBot="1" x14ac:dyDescent="0.25">
      <c r="B420" s="64"/>
      <c r="C420" s="65"/>
      <c r="D420" s="65"/>
      <c r="E420" s="13"/>
      <c r="F420" s="13"/>
      <c r="G420" s="104"/>
      <c r="H420" s="84"/>
      <c r="I420" s="12"/>
      <c r="J420" s="12"/>
      <c r="K420" s="12"/>
      <c r="L420" s="63"/>
      <c r="M420" s="25"/>
    </row>
    <row r="421" spans="2:13" x14ac:dyDescent="0.2">
      <c r="B421" s="56"/>
      <c r="C421" s="57"/>
      <c r="D421" s="57"/>
      <c r="E421" s="5"/>
      <c r="F421" s="5"/>
      <c r="G421" s="85" t="s">
        <v>26</v>
      </c>
      <c r="H421" s="107">
        <f>SUM(H366:H397)</f>
        <v>10754</v>
      </c>
      <c r="I421" s="105">
        <f>SUM(I366:I397)</f>
        <v>3441.28</v>
      </c>
      <c r="J421" s="106">
        <f>SUM(J366:J397)</f>
        <v>7312.72</v>
      </c>
      <c r="K421" s="106">
        <f>SUM(K402:K419)</f>
        <v>8460</v>
      </c>
      <c r="L421" s="108"/>
      <c r="M421" s="25"/>
    </row>
    <row r="422" spans="2:13" ht="12.75" thickBot="1" x14ac:dyDescent="0.25">
      <c r="B422" s="71"/>
      <c r="C422" s="72"/>
      <c r="D422" s="72"/>
      <c r="E422" s="73"/>
      <c r="F422" s="73"/>
      <c r="G422" s="86" t="s">
        <v>13</v>
      </c>
      <c r="H422" s="100"/>
      <c r="I422" s="99"/>
      <c r="J422" s="87"/>
      <c r="K422" s="87"/>
      <c r="L422" s="88">
        <f>+J421-K421+L365</f>
        <v>43430.460000000014</v>
      </c>
      <c r="M422" s="25"/>
    </row>
    <row r="423" spans="2:13" x14ac:dyDescent="0.2">
      <c r="B423" s="25"/>
      <c r="H423" s="74"/>
      <c r="I423" s="25"/>
      <c r="L423" s="25"/>
      <c r="M423" s="25"/>
    </row>
    <row r="424" spans="2:13" x14ac:dyDescent="0.2">
      <c r="B424" s="544" t="s">
        <v>48</v>
      </c>
      <c r="C424" s="545"/>
      <c r="D424" s="545"/>
      <c r="E424" s="545"/>
      <c r="F424" s="545"/>
      <c r="G424" s="545"/>
      <c r="H424" s="545"/>
      <c r="I424" s="545"/>
      <c r="J424" s="545"/>
      <c r="K424" s="545"/>
      <c r="L424" s="546"/>
      <c r="M424" s="25"/>
    </row>
    <row r="425" spans="2:13" x14ac:dyDescent="0.2">
      <c r="B425" s="547" t="s">
        <v>626</v>
      </c>
      <c r="C425" s="548"/>
      <c r="D425" s="548"/>
      <c r="E425" s="548"/>
      <c r="F425" s="548"/>
      <c r="G425" s="548"/>
      <c r="H425" s="548"/>
      <c r="I425" s="548"/>
      <c r="J425" s="548"/>
      <c r="K425" s="548"/>
      <c r="L425" s="549"/>
      <c r="M425" s="25"/>
    </row>
    <row r="426" spans="2:13" x14ac:dyDescent="0.2">
      <c r="B426" s="550" t="s">
        <v>50</v>
      </c>
      <c r="C426" s="550"/>
      <c r="D426" s="551" t="s">
        <v>51</v>
      </c>
      <c r="E426" s="551"/>
      <c r="F426" s="551"/>
      <c r="G426" s="400"/>
      <c r="H426" s="400"/>
      <c r="I426" s="400"/>
      <c r="J426" s="400"/>
      <c r="K426" s="400"/>
      <c r="L426" s="401"/>
      <c r="M426" s="25"/>
    </row>
    <row r="427" spans="2:13" ht="24" x14ac:dyDescent="0.2">
      <c r="B427" s="56" t="s">
        <v>1</v>
      </c>
      <c r="C427" s="57" t="s">
        <v>2</v>
      </c>
      <c r="D427" s="57" t="s">
        <v>2</v>
      </c>
      <c r="E427" s="5" t="s">
        <v>3</v>
      </c>
      <c r="F427" s="5" t="s">
        <v>4</v>
      </c>
      <c r="G427" s="89" t="s">
        <v>6</v>
      </c>
      <c r="H427" s="83" t="s">
        <v>7</v>
      </c>
      <c r="I427" s="83" t="s">
        <v>52</v>
      </c>
      <c r="J427" s="83" t="s">
        <v>53</v>
      </c>
      <c r="K427" s="5" t="s">
        <v>10</v>
      </c>
      <c r="L427" s="5" t="s">
        <v>11</v>
      </c>
      <c r="M427" s="25"/>
    </row>
    <row r="428" spans="2:13" x14ac:dyDescent="0.2">
      <c r="B428" s="58"/>
      <c r="C428" s="59"/>
      <c r="D428" s="59"/>
      <c r="E428" s="13"/>
      <c r="F428" s="13"/>
      <c r="G428" s="24"/>
      <c r="H428" s="60"/>
      <c r="I428" s="61"/>
      <c r="J428" s="61"/>
      <c r="K428" s="61"/>
      <c r="L428" s="60">
        <f>L422</f>
        <v>43430.460000000014</v>
      </c>
      <c r="M428" s="25"/>
    </row>
    <row r="429" spans="2:13" x14ac:dyDescent="0.2">
      <c r="B429" s="110">
        <v>43647</v>
      </c>
      <c r="C429" s="353" t="s">
        <v>633</v>
      </c>
      <c r="D429" s="11"/>
      <c r="E429" s="15"/>
      <c r="F429" s="15"/>
      <c r="G429" s="15" t="s">
        <v>255</v>
      </c>
      <c r="H429" s="112">
        <v>352</v>
      </c>
      <c r="I429" s="12">
        <f>H429*0.32</f>
        <v>112.64</v>
      </c>
      <c r="J429" s="12">
        <f>H429*0.68</f>
        <v>239.36</v>
      </c>
      <c r="K429" s="12"/>
      <c r="L429" s="63">
        <f>+J429-K429+L428</f>
        <v>43669.820000000014</v>
      </c>
      <c r="M429" s="25"/>
    </row>
    <row r="430" spans="2:13" x14ac:dyDescent="0.2">
      <c r="B430" s="110">
        <v>43648</v>
      </c>
      <c r="C430" s="353" t="s">
        <v>633</v>
      </c>
      <c r="D430" s="11"/>
      <c r="E430" s="15"/>
      <c r="F430" s="15"/>
      <c r="G430" s="15" t="s">
        <v>255</v>
      </c>
      <c r="H430" s="112">
        <f>323-15</f>
        <v>308</v>
      </c>
      <c r="I430" s="12">
        <f t="shared" ref="I430:I437" si="19">H430*0.32</f>
        <v>98.56</v>
      </c>
      <c r="J430" s="12">
        <f t="shared" ref="J430:J464" si="20">H430*0.68</f>
        <v>209.44000000000003</v>
      </c>
      <c r="K430" s="12"/>
      <c r="L430" s="63">
        <f t="shared" ref="L430:L481" si="21">+J430-K430+L429</f>
        <v>43879.260000000017</v>
      </c>
      <c r="M430" s="25"/>
    </row>
    <row r="431" spans="2:13" x14ac:dyDescent="0.2">
      <c r="B431" s="110">
        <v>43649</v>
      </c>
      <c r="C431" s="353" t="s">
        <v>633</v>
      </c>
      <c r="D431" s="11"/>
      <c r="E431" s="15"/>
      <c r="F431" s="15"/>
      <c r="G431" s="15" t="s">
        <v>255</v>
      </c>
      <c r="H431" s="112">
        <v>30</v>
      </c>
      <c r="I431" s="12">
        <f t="shared" si="19"/>
        <v>9.6</v>
      </c>
      <c r="J431" s="12">
        <f>H431*0.68</f>
        <v>20.400000000000002</v>
      </c>
      <c r="K431" s="12"/>
      <c r="L431" s="63">
        <f t="shared" si="21"/>
        <v>43899.660000000018</v>
      </c>
      <c r="M431" s="25"/>
    </row>
    <row r="432" spans="2:13" x14ac:dyDescent="0.2">
      <c r="B432" s="110">
        <v>43650</v>
      </c>
      <c r="C432" s="353" t="s">
        <v>633</v>
      </c>
      <c r="D432" s="77"/>
      <c r="E432" s="15"/>
      <c r="F432" s="15"/>
      <c r="G432" s="15" t="s">
        <v>255</v>
      </c>
      <c r="H432" s="112">
        <f>477-25</f>
        <v>452</v>
      </c>
      <c r="I432" s="12">
        <f t="shared" si="19"/>
        <v>144.64000000000001</v>
      </c>
      <c r="J432" s="12">
        <f t="shared" si="20"/>
        <v>307.36</v>
      </c>
      <c r="K432" s="12"/>
      <c r="L432" s="63">
        <f t="shared" si="21"/>
        <v>44207.020000000019</v>
      </c>
      <c r="M432" s="25"/>
    </row>
    <row r="433" spans="2:13" x14ac:dyDescent="0.2">
      <c r="B433" s="110">
        <v>43654</v>
      </c>
      <c r="C433" s="353" t="s">
        <v>633</v>
      </c>
      <c r="D433" s="77"/>
      <c r="E433" s="15"/>
      <c r="F433" s="15"/>
      <c r="G433" s="15" t="s">
        <v>255</v>
      </c>
      <c r="H433" s="112">
        <v>528</v>
      </c>
      <c r="I433" s="12">
        <f t="shared" si="19"/>
        <v>168.96</v>
      </c>
      <c r="J433" s="12">
        <f>H433*0.68</f>
        <v>359.04</v>
      </c>
      <c r="K433" s="12"/>
      <c r="L433" s="63">
        <f t="shared" si="21"/>
        <v>44566.060000000019</v>
      </c>
      <c r="M433" s="25"/>
    </row>
    <row r="434" spans="2:13" x14ac:dyDescent="0.2">
      <c r="B434" s="110">
        <v>43655</v>
      </c>
      <c r="C434" s="353" t="s">
        <v>633</v>
      </c>
      <c r="D434" s="77"/>
      <c r="E434" s="15"/>
      <c r="F434" s="15"/>
      <c r="G434" s="15" t="s">
        <v>255</v>
      </c>
      <c r="H434" s="112">
        <v>616</v>
      </c>
      <c r="I434" s="12">
        <f t="shared" si="19"/>
        <v>197.12</v>
      </c>
      <c r="J434" s="12">
        <f t="shared" si="20"/>
        <v>418.88000000000005</v>
      </c>
      <c r="K434" s="12"/>
      <c r="L434" s="63">
        <f t="shared" si="21"/>
        <v>44984.940000000017</v>
      </c>
      <c r="M434" s="25"/>
    </row>
    <row r="435" spans="2:13" x14ac:dyDescent="0.2">
      <c r="B435" s="110">
        <v>43656</v>
      </c>
      <c r="C435" s="353" t="s">
        <v>633</v>
      </c>
      <c r="D435" s="77"/>
      <c r="E435" s="15"/>
      <c r="F435" s="15"/>
      <c r="G435" s="15" t="s">
        <v>255</v>
      </c>
      <c r="H435" s="112">
        <v>453</v>
      </c>
      <c r="I435" s="12">
        <f t="shared" si="19"/>
        <v>144.96</v>
      </c>
      <c r="J435" s="12">
        <f t="shared" si="20"/>
        <v>308.04000000000002</v>
      </c>
      <c r="K435" s="12"/>
      <c r="L435" s="63">
        <f t="shared" si="21"/>
        <v>45292.980000000018</v>
      </c>
      <c r="M435" s="25"/>
    </row>
    <row r="436" spans="2:13" x14ac:dyDescent="0.2">
      <c r="B436" s="110">
        <v>43657</v>
      </c>
      <c r="C436" s="353" t="s">
        <v>633</v>
      </c>
      <c r="D436" s="77"/>
      <c r="E436" s="15"/>
      <c r="F436" s="15"/>
      <c r="G436" s="15" t="s">
        <v>255</v>
      </c>
      <c r="H436" s="112">
        <v>452</v>
      </c>
      <c r="I436" s="12">
        <f t="shared" si="19"/>
        <v>144.64000000000001</v>
      </c>
      <c r="J436" s="12">
        <f t="shared" si="20"/>
        <v>307.36</v>
      </c>
      <c r="K436" s="12"/>
      <c r="L436" s="63">
        <f t="shared" si="21"/>
        <v>45600.340000000018</v>
      </c>
      <c r="M436" s="25"/>
    </row>
    <row r="437" spans="2:13" x14ac:dyDescent="0.2">
      <c r="B437" s="110">
        <v>43658</v>
      </c>
      <c r="C437" s="353" t="s">
        <v>633</v>
      </c>
      <c r="D437" s="77"/>
      <c r="E437" s="15"/>
      <c r="F437" s="15"/>
      <c r="G437" s="15" t="s">
        <v>255</v>
      </c>
      <c r="H437" s="112">
        <v>358</v>
      </c>
      <c r="I437" s="12">
        <f t="shared" si="19"/>
        <v>114.56</v>
      </c>
      <c r="J437" s="12">
        <f t="shared" si="20"/>
        <v>243.44000000000003</v>
      </c>
      <c r="K437" s="12"/>
      <c r="L437" s="63">
        <f t="shared" si="21"/>
        <v>45843.780000000021</v>
      </c>
      <c r="M437" s="25"/>
    </row>
    <row r="438" spans="2:13" x14ac:dyDescent="0.2">
      <c r="B438" s="110">
        <v>43661</v>
      </c>
      <c r="C438" s="353" t="s">
        <v>633</v>
      </c>
      <c r="D438" s="11"/>
      <c r="E438" s="15"/>
      <c r="F438" s="15"/>
      <c r="G438" s="15" t="s">
        <v>255</v>
      </c>
      <c r="H438" s="112">
        <v>200</v>
      </c>
      <c r="I438" s="12">
        <f>H438*0.32</f>
        <v>64</v>
      </c>
      <c r="J438" s="12">
        <f t="shared" si="20"/>
        <v>136</v>
      </c>
      <c r="K438" s="12"/>
      <c r="L438" s="63">
        <f t="shared" si="21"/>
        <v>45979.780000000021</v>
      </c>
      <c r="M438" s="25"/>
    </row>
    <row r="439" spans="2:13" x14ac:dyDescent="0.2">
      <c r="B439" s="110">
        <v>43663</v>
      </c>
      <c r="C439" s="353" t="s">
        <v>633</v>
      </c>
      <c r="D439" s="11"/>
      <c r="E439" s="15"/>
      <c r="F439" s="15"/>
      <c r="G439" s="15" t="s">
        <v>255</v>
      </c>
      <c r="H439" s="112">
        <v>164</v>
      </c>
      <c r="I439" s="12">
        <f>H439*0.32</f>
        <v>52.480000000000004</v>
      </c>
      <c r="J439" s="12">
        <f t="shared" si="20"/>
        <v>111.52000000000001</v>
      </c>
      <c r="K439" s="12"/>
      <c r="L439" s="63">
        <f t="shared" si="21"/>
        <v>46091.300000000017</v>
      </c>
      <c r="M439" s="25"/>
    </row>
    <row r="440" spans="2:13" x14ac:dyDescent="0.2">
      <c r="B440" s="110">
        <v>43664</v>
      </c>
      <c r="C440" s="353" t="s">
        <v>633</v>
      </c>
      <c r="D440" s="11"/>
      <c r="E440" s="15"/>
      <c r="F440" s="15"/>
      <c r="G440" s="15" t="s">
        <v>255</v>
      </c>
      <c r="H440" s="112">
        <v>1342</v>
      </c>
      <c r="I440" s="12">
        <f>H440*0.32</f>
        <v>429.44</v>
      </c>
      <c r="J440" s="12">
        <f t="shared" si="20"/>
        <v>912.56000000000006</v>
      </c>
      <c r="K440" s="12"/>
      <c r="L440" s="63">
        <f t="shared" si="21"/>
        <v>47003.860000000015</v>
      </c>
      <c r="M440" s="25"/>
    </row>
    <row r="441" spans="2:13" x14ac:dyDescent="0.2">
      <c r="B441" s="110">
        <v>43665</v>
      </c>
      <c r="C441" s="353" t="s">
        <v>634</v>
      </c>
      <c r="D441" s="11"/>
      <c r="E441" s="15"/>
      <c r="F441" s="15"/>
      <c r="G441" s="15" t="s">
        <v>308</v>
      </c>
      <c r="H441" s="112">
        <v>618</v>
      </c>
      <c r="I441" s="12">
        <f t="shared" ref="I441:I464" si="22">H441*0.32</f>
        <v>197.76</v>
      </c>
      <c r="J441" s="12">
        <f t="shared" si="20"/>
        <v>420.24</v>
      </c>
      <c r="K441" s="12"/>
      <c r="L441" s="63">
        <f t="shared" si="21"/>
        <v>47424.100000000013</v>
      </c>
      <c r="M441" s="25"/>
    </row>
    <row r="442" spans="2:13" x14ac:dyDescent="0.2">
      <c r="B442" s="110">
        <v>43668</v>
      </c>
      <c r="C442" s="353" t="s">
        <v>634</v>
      </c>
      <c r="D442" s="11"/>
      <c r="E442" s="15"/>
      <c r="F442" s="15"/>
      <c r="G442" s="15" t="s">
        <v>308</v>
      </c>
      <c r="H442" s="112">
        <v>388</v>
      </c>
      <c r="I442" s="12">
        <f t="shared" si="22"/>
        <v>124.16</v>
      </c>
      <c r="J442" s="12">
        <f t="shared" si="20"/>
        <v>263.84000000000003</v>
      </c>
      <c r="K442" s="12"/>
      <c r="L442" s="63">
        <f t="shared" si="21"/>
        <v>47687.94000000001</v>
      </c>
      <c r="M442" s="25"/>
    </row>
    <row r="443" spans="2:13" x14ac:dyDescent="0.2">
      <c r="B443" s="110">
        <v>43669</v>
      </c>
      <c r="C443" s="353" t="s">
        <v>634</v>
      </c>
      <c r="D443" s="11"/>
      <c r="E443" s="15"/>
      <c r="F443" s="15"/>
      <c r="G443" s="15" t="s">
        <v>308</v>
      </c>
      <c r="H443" s="112">
        <v>696</v>
      </c>
      <c r="I443" s="12">
        <f t="shared" si="22"/>
        <v>222.72</v>
      </c>
      <c r="J443" s="12">
        <f t="shared" si="20"/>
        <v>473.28000000000003</v>
      </c>
      <c r="K443" s="12"/>
      <c r="L443" s="63">
        <f t="shared" si="21"/>
        <v>48161.220000000008</v>
      </c>
      <c r="M443" s="25"/>
    </row>
    <row r="444" spans="2:13" x14ac:dyDescent="0.2">
      <c r="B444" s="110">
        <v>43670</v>
      </c>
      <c r="C444" s="353" t="s">
        <v>634</v>
      </c>
      <c r="D444" s="11"/>
      <c r="E444" s="15"/>
      <c r="F444" s="15"/>
      <c r="G444" s="15" t="s">
        <v>308</v>
      </c>
      <c r="H444" s="112">
        <v>1212</v>
      </c>
      <c r="I444" s="12">
        <f t="shared" si="22"/>
        <v>387.84000000000003</v>
      </c>
      <c r="J444" s="12">
        <f t="shared" si="20"/>
        <v>824.16000000000008</v>
      </c>
      <c r="K444" s="12"/>
      <c r="L444" s="63">
        <f t="shared" si="21"/>
        <v>48985.380000000012</v>
      </c>
      <c r="M444" s="25"/>
    </row>
    <row r="445" spans="2:13" x14ac:dyDescent="0.2">
      <c r="B445" s="110">
        <v>43671</v>
      </c>
      <c r="C445" s="353" t="s">
        <v>634</v>
      </c>
      <c r="D445" s="11"/>
      <c r="E445" s="15"/>
      <c r="F445" s="15"/>
      <c r="G445" s="15" t="s">
        <v>308</v>
      </c>
      <c r="H445" s="112">
        <v>436</v>
      </c>
      <c r="I445" s="12">
        <f t="shared" si="22"/>
        <v>139.52000000000001</v>
      </c>
      <c r="J445" s="12">
        <f t="shared" si="20"/>
        <v>296.48</v>
      </c>
      <c r="K445" s="12"/>
      <c r="L445" s="63">
        <f t="shared" si="21"/>
        <v>49281.860000000015</v>
      </c>
      <c r="M445" s="25"/>
    </row>
    <row r="446" spans="2:13" x14ac:dyDescent="0.2">
      <c r="B446" s="110">
        <v>43672</v>
      </c>
      <c r="C446" s="353" t="s">
        <v>634</v>
      </c>
      <c r="D446" s="11"/>
      <c r="E446" s="15"/>
      <c r="F446" s="15"/>
      <c r="G446" s="15" t="s">
        <v>308</v>
      </c>
      <c r="H446" s="112">
        <f>713-384</f>
        <v>329</v>
      </c>
      <c r="I446" s="12">
        <f t="shared" si="22"/>
        <v>105.28</v>
      </c>
      <c r="J446" s="12">
        <f t="shared" si="20"/>
        <v>223.72000000000003</v>
      </c>
      <c r="K446" s="12"/>
      <c r="L446" s="63">
        <f t="shared" si="21"/>
        <v>49505.580000000016</v>
      </c>
      <c r="M446" s="25"/>
    </row>
    <row r="447" spans="2:13" x14ac:dyDescent="0.2">
      <c r="B447" s="110">
        <v>43677</v>
      </c>
      <c r="C447" s="353" t="s">
        <v>634</v>
      </c>
      <c r="D447" s="11"/>
      <c r="E447" s="15"/>
      <c r="F447" s="15"/>
      <c r="G447" s="15" t="s">
        <v>308</v>
      </c>
      <c r="H447" s="112">
        <v>1238</v>
      </c>
      <c r="I447" s="12">
        <f t="shared" si="22"/>
        <v>396.16</v>
      </c>
      <c r="J447" s="12">
        <f t="shared" si="20"/>
        <v>841.84</v>
      </c>
      <c r="K447" s="12"/>
      <c r="L447" s="63">
        <f t="shared" si="21"/>
        <v>50347.420000000013</v>
      </c>
      <c r="M447" s="25"/>
    </row>
    <row r="448" spans="2:13" x14ac:dyDescent="0.2">
      <c r="B448" s="110">
        <v>43647</v>
      </c>
      <c r="C448" s="353"/>
      <c r="D448" s="11"/>
      <c r="E448" s="15"/>
      <c r="F448" s="15"/>
      <c r="G448" s="15"/>
      <c r="H448" s="112">
        <v>666</v>
      </c>
      <c r="I448" s="12">
        <f t="shared" si="22"/>
        <v>213.12</v>
      </c>
      <c r="J448" s="12">
        <f t="shared" si="20"/>
        <v>452.88000000000005</v>
      </c>
      <c r="K448" s="12"/>
      <c r="L448" s="63">
        <f t="shared" si="21"/>
        <v>50800.30000000001</v>
      </c>
      <c r="M448" s="25"/>
    </row>
    <row r="449" spans="2:13" x14ac:dyDescent="0.2">
      <c r="B449" s="110">
        <v>43648</v>
      </c>
      <c r="C449" s="353"/>
      <c r="D449" s="11"/>
      <c r="E449" s="15"/>
      <c r="F449" s="15"/>
      <c r="G449" s="15"/>
      <c r="H449" s="112">
        <v>458</v>
      </c>
      <c r="I449" s="12">
        <f t="shared" si="22"/>
        <v>146.56</v>
      </c>
      <c r="J449" s="12">
        <f t="shared" si="20"/>
        <v>311.44</v>
      </c>
      <c r="K449" s="12"/>
      <c r="L449" s="63">
        <f t="shared" si="21"/>
        <v>51111.740000000013</v>
      </c>
      <c r="M449" s="25"/>
    </row>
    <row r="450" spans="2:13" x14ac:dyDescent="0.2">
      <c r="B450" s="110">
        <v>43649</v>
      </c>
      <c r="C450" s="353"/>
      <c r="D450" s="11"/>
      <c r="E450" s="15"/>
      <c r="F450" s="15"/>
      <c r="G450" s="15"/>
      <c r="H450" s="112">
        <v>308</v>
      </c>
      <c r="I450" s="12">
        <f t="shared" si="22"/>
        <v>98.56</v>
      </c>
      <c r="J450" s="12">
        <f t="shared" si="20"/>
        <v>209.44000000000003</v>
      </c>
      <c r="K450" s="12"/>
      <c r="L450" s="63">
        <f t="shared" si="21"/>
        <v>51321.180000000015</v>
      </c>
      <c r="M450" s="25"/>
    </row>
    <row r="451" spans="2:13" x14ac:dyDescent="0.2">
      <c r="B451" s="110">
        <v>43650</v>
      </c>
      <c r="C451" s="353"/>
      <c r="D451" s="11"/>
      <c r="E451" s="15"/>
      <c r="F451" s="15"/>
      <c r="G451" s="15"/>
      <c r="H451" s="112">
        <v>144</v>
      </c>
      <c r="I451" s="12">
        <f t="shared" si="22"/>
        <v>46.08</v>
      </c>
      <c r="J451" s="12">
        <f t="shared" si="20"/>
        <v>97.92</v>
      </c>
      <c r="K451" s="12"/>
      <c r="L451" s="63">
        <f t="shared" si="21"/>
        <v>51419.100000000013</v>
      </c>
      <c r="M451" s="25"/>
    </row>
    <row r="452" spans="2:13" x14ac:dyDescent="0.2">
      <c r="B452" s="110">
        <v>43652</v>
      </c>
      <c r="C452" s="353"/>
      <c r="D452" s="11"/>
      <c r="E452" s="15"/>
      <c r="F452" s="15"/>
      <c r="G452" s="15"/>
      <c r="H452" s="112">
        <v>522</v>
      </c>
      <c r="I452" s="12">
        <f t="shared" si="22"/>
        <v>167.04</v>
      </c>
      <c r="J452" s="12">
        <f t="shared" si="20"/>
        <v>354.96000000000004</v>
      </c>
      <c r="K452" s="12"/>
      <c r="L452" s="63">
        <f t="shared" si="21"/>
        <v>51774.060000000012</v>
      </c>
      <c r="M452" s="25"/>
    </row>
    <row r="453" spans="2:13" x14ac:dyDescent="0.2">
      <c r="B453" s="110">
        <v>43654</v>
      </c>
      <c r="C453" s="353"/>
      <c r="D453" s="11"/>
      <c r="E453" s="15"/>
      <c r="F453" s="15"/>
      <c r="G453" s="15"/>
      <c r="H453" s="112">
        <v>468</v>
      </c>
      <c r="I453" s="12">
        <f t="shared" si="22"/>
        <v>149.76</v>
      </c>
      <c r="J453" s="12">
        <f t="shared" si="20"/>
        <v>318.24</v>
      </c>
      <c r="K453" s="12"/>
      <c r="L453" s="63">
        <f t="shared" si="21"/>
        <v>52092.30000000001</v>
      </c>
      <c r="M453" s="25"/>
    </row>
    <row r="454" spans="2:13" x14ac:dyDescent="0.2">
      <c r="B454" s="110">
        <v>43655</v>
      </c>
      <c r="C454" s="353"/>
      <c r="D454" s="11"/>
      <c r="E454" s="15"/>
      <c r="F454" s="15"/>
      <c r="G454" s="15"/>
      <c r="H454" s="112">
        <v>308</v>
      </c>
      <c r="I454" s="12">
        <f t="shared" si="22"/>
        <v>98.56</v>
      </c>
      <c r="J454" s="12">
        <f t="shared" si="20"/>
        <v>209.44000000000003</v>
      </c>
      <c r="K454" s="12"/>
      <c r="L454" s="63">
        <f t="shared" si="21"/>
        <v>52301.740000000013</v>
      </c>
      <c r="M454" s="25"/>
    </row>
    <row r="455" spans="2:13" x14ac:dyDescent="0.2">
      <c r="B455" s="110">
        <v>43656</v>
      </c>
      <c r="C455" s="353"/>
      <c r="D455" s="11"/>
      <c r="E455" s="15"/>
      <c r="F455" s="15"/>
      <c r="G455" s="15"/>
      <c r="H455" s="112">
        <v>50</v>
      </c>
      <c r="I455" s="12">
        <f t="shared" si="22"/>
        <v>16</v>
      </c>
      <c r="J455" s="12">
        <f t="shared" si="20"/>
        <v>34</v>
      </c>
      <c r="K455" s="12"/>
      <c r="L455" s="63">
        <f t="shared" si="21"/>
        <v>52335.740000000013</v>
      </c>
      <c r="M455" s="25"/>
    </row>
    <row r="456" spans="2:13" x14ac:dyDescent="0.2">
      <c r="B456" s="110">
        <v>43661</v>
      </c>
      <c r="C456" s="353"/>
      <c r="D456" s="65"/>
      <c r="E456" s="13"/>
      <c r="F456" s="15"/>
      <c r="G456" s="15"/>
      <c r="H456" s="112">
        <v>318</v>
      </c>
      <c r="I456" s="12">
        <f t="shared" si="22"/>
        <v>101.76</v>
      </c>
      <c r="J456" s="12">
        <f t="shared" si="20"/>
        <v>216.24</v>
      </c>
      <c r="K456" s="12"/>
      <c r="L456" s="63">
        <f t="shared" si="21"/>
        <v>52551.98000000001</v>
      </c>
      <c r="M456" s="25"/>
    </row>
    <row r="457" spans="2:13" x14ac:dyDescent="0.2">
      <c r="B457" s="110">
        <v>43664</v>
      </c>
      <c r="C457" s="353"/>
      <c r="D457" s="65"/>
      <c r="E457" s="13"/>
      <c r="F457" s="15"/>
      <c r="G457" s="15"/>
      <c r="H457" s="112">
        <v>338</v>
      </c>
      <c r="I457" s="12">
        <f t="shared" si="22"/>
        <v>108.16</v>
      </c>
      <c r="J457" s="12">
        <f t="shared" si="20"/>
        <v>229.84</v>
      </c>
      <c r="K457" s="12"/>
      <c r="L457" s="63">
        <f t="shared" si="21"/>
        <v>52781.820000000007</v>
      </c>
      <c r="M457" s="25"/>
    </row>
    <row r="458" spans="2:13" x14ac:dyDescent="0.2">
      <c r="B458" s="110">
        <v>43665</v>
      </c>
      <c r="C458" s="353"/>
      <c r="D458" s="65"/>
      <c r="E458" s="13"/>
      <c r="F458" s="15"/>
      <c r="G458" s="15"/>
      <c r="H458" s="112">
        <v>1212</v>
      </c>
      <c r="I458" s="12">
        <f t="shared" si="22"/>
        <v>387.84000000000003</v>
      </c>
      <c r="J458" s="12">
        <f t="shared" si="20"/>
        <v>824.16000000000008</v>
      </c>
      <c r="K458" s="12"/>
      <c r="L458" s="63">
        <f t="shared" si="21"/>
        <v>53605.98000000001</v>
      </c>
      <c r="M458" s="25"/>
    </row>
    <row r="459" spans="2:13" x14ac:dyDescent="0.2">
      <c r="B459" s="110">
        <v>43669</v>
      </c>
      <c r="C459" s="353"/>
      <c r="D459" s="65"/>
      <c r="E459" s="13"/>
      <c r="F459" s="15"/>
      <c r="G459" s="15"/>
      <c r="H459" s="112">
        <v>1248</v>
      </c>
      <c r="I459" s="12">
        <f t="shared" si="22"/>
        <v>399.36</v>
      </c>
      <c r="J459" s="12">
        <f t="shared" si="20"/>
        <v>848.6400000000001</v>
      </c>
      <c r="K459" s="12"/>
      <c r="L459" s="63">
        <f t="shared" si="21"/>
        <v>54454.62000000001</v>
      </c>
      <c r="M459" s="25"/>
    </row>
    <row r="460" spans="2:13" x14ac:dyDescent="0.2">
      <c r="B460" s="110">
        <v>43670</v>
      </c>
      <c r="C460" s="353"/>
      <c r="D460" s="65"/>
      <c r="E460" s="13"/>
      <c r="F460" s="15"/>
      <c r="G460" s="15"/>
      <c r="H460" s="112">
        <v>250</v>
      </c>
      <c r="I460" s="12">
        <f t="shared" si="22"/>
        <v>80</v>
      </c>
      <c r="J460" s="12">
        <f t="shared" si="20"/>
        <v>170</v>
      </c>
      <c r="K460" s="12"/>
      <c r="L460" s="63">
        <f t="shared" si="21"/>
        <v>54624.62000000001</v>
      </c>
      <c r="M460" s="25"/>
    </row>
    <row r="461" spans="2:13" x14ac:dyDescent="0.2">
      <c r="B461" s="110">
        <v>43671</v>
      </c>
      <c r="C461" s="353"/>
      <c r="D461" s="65"/>
      <c r="E461" s="13"/>
      <c r="F461" s="15"/>
      <c r="G461" s="15"/>
      <c r="H461" s="112">
        <v>308</v>
      </c>
      <c r="I461" s="12">
        <f t="shared" si="22"/>
        <v>98.56</v>
      </c>
      <c r="J461" s="12">
        <f t="shared" si="20"/>
        <v>209.44000000000003</v>
      </c>
      <c r="K461" s="12"/>
      <c r="L461" s="63">
        <f t="shared" si="21"/>
        <v>54834.060000000012</v>
      </c>
      <c r="M461" s="25"/>
    </row>
    <row r="462" spans="2:13" x14ac:dyDescent="0.2">
      <c r="B462" s="110">
        <v>43672</v>
      </c>
      <c r="C462" s="353"/>
      <c r="D462" s="65"/>
      <c r="E462" s="13"/>
      <c r="F462" s="15"/>
      <c r="G462" s="15"/>
      <c r="H462" s="112">
        <v>288</v>
      </c>
      <c r="I462" s="12">
        <f t="shared" si="22"/>
        <v>92.16</v>
      </c>
      <c r="J462" s="12">
        <f t="shared" si="20"/>
        <v>195.84</v>
      </c>
      <c r="K462" s="12"/>
      <c r="L462" s="63">
        <f t="shared" si="21"/>
        <v>55029.900000000009</v>
      </c>
      <c r="M462" s="25"/>
    </row>
    <row r="463" spans="2:13" x14ac:dyDescent="0.2">
      <c r="B463" s="110">
        <v>43677</v>
      </c>
      <c r="C463" s="353"/>
      <c r="D463" s="65"/>
      <c r="E463" s="13"/>
      <c r="F463" s="15"/>
      <c r="G463" s="15"/>
      <c r="H463" s="112">
        <v>1390</v>
      </c>
      <c r="I463" s="12">
        <f t="shared" si="22"/>
        <v>444.8</v>
      </c>
      <c r="J463" s="12">
        <f t="shared" si="20"/>
        <v>945.2</v>
      </c>
      <c r="K463" s="12"/>
      <c r="L463" s="63">
        <f t="shared" si="21"/>
        <v>55975.100000000006</v>
      </c>
      <c r="M463" s="25"/>
    </row>
    <row r="464" spans="2:13" x14ac:dyDescent="0.2">
      <c r="B464" s="110">
        <v>43672</v>
      </c>
      <c r="C464" s="353"/>
      <c r="D464" s="65"/>
      <c r="E464" s="13"/>
      <c r="F464" s="15"/>
      <c r="G464" s="15"/>
      <c r="H464" s="112">
        <v>144</v>
      </c>
      <c r="I464" s="12">
        <f t="shared" si="22"/>
        <v>46.08</v>
      </c>
      <c r="J464" s="12">
        <f t="shared" si="20"/>
        <v>97.92</v>
      </c>
      <c r="K464" s="12"/>
      <c r="L464" s="63">
        <f t="shared" si="21"/>
        <v>56073.020000000004</v>
      </c>
      <c r="M464" s="25"/>
    </row>
    <row r="465" spans="2:13" x14ac:dyDescent="0.2">
      <c r="B465" s="110"/>
      <c r="C465" s="353"/>
      <c r="D465" s="65"/>
      <c r="E465" s="13"/>
      <c r="F465" s="15"/>
      <c r="G465" s="15"/>
      <c r="H465" s="112"/>
      <c r="I465" s="12"/>
      <c r="J465" s="12"/>
      <c r="K465" s="12"/>
      <c r="L465" s="63">
        <f t="shared" si="21"/>
        <v>56073.020000000004</v>
      </c>
      <c r="M465" s="25"/>
    </row>
    <row r="466" spans="2:13" x14ac:dyDescent="0.2">
      <c r="B466" s="110"/>
      <c r="C466" s="353"/>
      <c r="D466" s="65"/>
      <c r="E466" s="13"/>
      <c r="F466" s="15"/>
      <c r="G466" s="15"/>
      <c r="H466" s="112"/>
      <c r="I466" s="12"/>
      <c r="J466" s="12"/>
      <c r="K466" s="12"/>
      <c r="L466" s="63">
        <f t="shared" si="21"/>
        <v>56073.020000000004</v>
      </c>
      <c r="M466" s="25"/>
    </row>
    <row r="467" spans="2:13" x14ac:dyDescent="0.2">
      <c r="B467" s="110"/>
      <c r="C467" s="353"/>
      <c r="D467" s="65"/>
      <c r="E467" s="13"/>
      <c r="F467" s="15"/>
      <c r="G467" s="15"/>
      <c r="H467" s="112"/>
      <c r="I467" s="12"/>
      <c r="J467" s="12"/>
      <c r="K467" s="12"/>
      <c r="L467" s="63">
        <f t="shared" si="21"/>
        <v>56073.020000000004</v>
      </c>
      <c r="M467" s="25"/>
    </row>
    <row r="468" spans="2:13" x14ac:dyDescent="0.2">
      <c r="B468" s="110"/>
      <c r="C468" s="353"/>
      <c r="D468" s="65"/>
      <c r="E468" s="13"/>
      <c r="F468" s="15"/>
      <c r="G468" s="15"/>
      <c r="H468" s="112"/>
      <c r="I468" s="12"/>
      <c r="J468" s="12"/>
      <c r="K468" s="12"/>
      <c r="L468" s="63">
        <f t="shared" si="21"/>
        <v>56073.020000000004</v>
      </c>
      <c r="M468" s="25"/>
    </row>
    <row r="469" spans="2:13" x14ac:dyDescent="0.2">
      <c r="B469" s="110"/>
      <c r="C469" s="65"/>
      <c r="D469" s="65"/>
      <c r="E469" s="13"/>
      <c r="F469" s="15"/>
      <c r="G469" s="66"/>
      <c r="H469" s="112"/>
      <c r="I469" s="12"/>
      <c r="J469" s="12"/>
      <c r="K469" s="12"/>
      <c r="L469" s="63">
        <f t="shared" si="21"/>
        <v>56073.020000000004</v>
      </c>
      <c r="M469" s="25"/>
    </row>
    <row r="470" spans="2:13" x14ac:dyDescent="0.2">
      <c r="B470" s="547" t="s">
        <v>256</v>
      </c>
      <c r="C470" s="548"/>
      <c r="D470" s="548"/>
      <c r="E470" s="548"/>
      <c r="F470" s="548"/>
      <c r="G470" s="548"/>
      <c r="H470" s="548"/>
      <c r="I470" s="548"/>
      <c r="J470" s="548"/>
      <c r="K470" s="548"/>
      <c r="L470" s="63">
        <f t="shared" si="21"/>
        <v>56073.020000000004</v>
      </c>
      <c r="M470" s="25"/>
    </row>
    <row r="471" spans="2:13" x14ac:dyDescent="0.2">
      <c r="B471" s="552" t="s">
        <v>56</v>
      </c>
      <c r="C471" s="553"/>
      <c r="D471" s="554" t="s">
        <v>51</v>
      </c>
      <c r="E471" s="554"/>
      <c r="F471" s="554"/>
      <c r="G471" s="94"/>
      <c r="H471" s="95"/>
      <c r="I471" s="96"/>
      <c r="J471" s="96"/>
      <c r="K471" s="97"/>
      <c r="L471" s="63">
        <f t="shared" si="21"/>
        <v>56073.020000000004</v>
      </c>
      <c r="M471" s="25"/>
    </row>
    <row r="472" spans="2:13" x14ac:dyDescent="0.2">
      <c r="B472" s="91" t="s">
        <v>1</v>
      </c>
      <c r="C472" s="92" t="s">
        <v>57</v>
      </c>
      <c r="D472" s="92" t="s">
        <v>2</v>
      </c>
      <c r="E472" s="402" t="s">
        <v>3</v>
      </c>
      <c r="F472" s="402" t="s">
        <v>4</v>
      </c>
      <c r="G472" s="561" t="s">
        <v>58</v>
      </c>
      <c r="H472" s="562"/>
      <c r="I472" s="562"/>
      <c r="J472" s="563"/>
      <c r="K472" s="90"/>
      <c r="L472" s="63">
        <f t="shared" si="21"/>
        <v>56073.020000000004</v>
      </c>
      <c r="M472" s="25"/>
    </row>
    <row r="473" spans="2:13" ht="48" customHeight="1" x14ac:dyDescent="0.2">
      <c r="B473" s="64">
        <v>43664</v>
      </c>
      <c r="C473" s="349" t="s">
        <v>614</v>
      </c>
      <c r="D473" s="349"/>
      <c r="E473" s="3"/>
      <c r="F473" s="16"/>
      <c r="G473" s="571" t="s">
        <v>615</v>
      </c>
      <c r="H473" s="572"/>
      <c r="I473" s="573"/>
      <c r="J473" s="349"/>
      <c r="K473" s="70">
        <v>1040</v>
      </c>
      <c r="L473" s="63">
        <f t="shared" si="21"/>
        <v>55033.020000000004</v>
      </c>
      <c r="M473" s="25"/>
    </row>
    <row r="474" spans="2:13" ht="30.75" customHeight="1" x14ac:dyDescent="0.2">
      <c r="B474" s="64">
        <v>43668</v>
      </c>
      <c r="C474" s="77" t="s">
        <v>617</v>
      </c>
      <c r="D474" s="78"/>
      <c r="E474" s="3"/>
      <c r="F474" s="16"/>
      <c r="G474" s="571" t="s">
        <v>618</v>
      </c>
      <c r="H474" s="572"/>
      <c r="I474" s="573"/>
      <c r="J474" s="12"/>
      <c r="K474" s="12"/>
      <c r="L474" s="63">
        <f t="shared" si="21"/>
        <v>55033.020000000004</v>
      </c>
      <c r="M474" s="25"/>
    </row>
    <row r="475" spans="2:13" x14ac:dyDescent="0.2">
      <c r="B475" s="64"/>
      <c r="C475" s="78"/>
      <c r="D475" s="78"/>
      <c r="E475" s="3"/>
      <c r="F475" s="16"/>
      <c r="G475" s="574" t="s">
        <v>577</v>
      </c>
      <c r="H475" s="575"/>
      <c r="I475" s="576"/>
      <c r="J475" s="12"/>
      <c r="K475" s="12">
        <v>1700</v>
      </c>
      <c r="L475" s="63">
        <f t="shared" si="21"/>
        <v>53333.020000000004</v>
      </c>
      <c r="M475" s="25"/>
    </row>
    <row r="476" spans="2:13" x14ac:dyDescent="0.2">
      <c r="B476" s="64"/>
      <c r="C476" s="78"/>
      <c r="D476" s="78"/>
      <c r="E476" s="3"/>
      <c r="F476" s="16"/>
      <c r="G476" s="574" t="s">
        <v>619</v>
      </c>
      <c r="H476" s="575"/>
      <c r="I476" s="576"/>
      <c r="J476" s="12"/>
      <c r="K476" s="12">
        <v>950</v>
      </c>
      <c r="L476" s="63">
        <f t="shared" si="21"/>
        <v>52383.020000000004</v>
      </c>
      <c r="M476" s="25"/>
    </row>
    <row r="477" spans="2:13" x14ac:dyDescent="0.2">
      <c r="B477" s="64"/>
      <c r="C477" s="78"/>
      <c r="D477" s="78"/>
      <c r="E477" s="3"/>
      <c r="F477" s="16"/>
      <c r="G477" s="574" t="s">
        <v>620</v>
      </c>
      <c r="H477" s="575"/>
      <c r="I477" s="576"/>
      <c r="J477" s="12"/>
      <c r="K477" s="12">
        <v>850</v>
      </c>
      <c r="L477" s="63">
        <f t="shared" si="21"/>
        <v>51533.020000000004</v>
      </c>
      <c r="M477" s="25"/>
    </row>
    <row r="478" spans="2:13" ht="26.25" customHeight="1" x14ac:dyDescent="0.2">
      <c r="B478" s="64">
        <v>43677</v>
      </c>
      <c r="C478" s="77" t="s">
        <v>621</v>
      </c>
      <c r="D478" s="78"/>
      <c r="E478" s="3"/>
      <c r="F478" s="16"/>
      <c r="G478" s="574" t="s">
        <v>622</v>
      </c>
      <c r="H478" s="575"/>
      <c r="I478" s="576"/>
      <c r="J478" s="12"/>
      <c r="K478" s="61">
        <v>1040</v>
      </c>
      <c r="L478" s="63">
        <f t="shared" si="21"/>
        <v>50493.020000000004</v>
      </c>
      <c r="M478" s="25"/>
    </row>
    <row r="479" spans="2:13" ht="39" customHeight="1" x14ac:dyDescent="0.2">
      <c r="B479" s="64"/>
      <c r="C479" s="77"/>
      <c r="D479" s="78"/>
      <c r="E479" s="3"/>
      <c r="F479" s="16"/>
      <c r="G479" s="574" t="s">
        <v>623</v>
      </c>
      <c r="H479" s="575"/>
      <c r="I479" s="576"/>
      <c r="J479" s="12"/>
      <c r="K479" s="12">
        <v>1040</v>
      </c>
      <c r="L479" s="63">
        <f t="shared" si="21"/>
        <v>49453.020000000004</v>
      </c>
      <c r="M479" s="25"/>
    </row>
    <row r="480" spans="2:13" x14ac:dyDescent="0.2">
      <c r="B480" s="64"/>
      <c r="C480" s="349"/>
      <c r="D480" s="349"/>
      <c r="E480" s="3"/>
      <c r="F480" s="16"/>
      <c r="G480" s="571" t="s">
        <v>624</v>
      </c>
      <c r="H480" s="572"/>
      <c r="I480" s="573"/>
      <c r="J480" s="349"/>
      <c r="K480" s="70">
        <v>450</v>
      </c>
      <c r="L480" s="63">
        <f t="shared" si="21"/>
        <v>49003.020000000004</v>
      </c>
      <c r="M480" s="25"/>
    </row>
    <row r="481" spans="2:13" x14ac:dyDescent="0.2">
      <c r="B481" s="10"/>
      <c r="C481" s="77"/>
      <c r="D481" s="77"/>
      <c r="E481" s="3"/>
      <c r="F481" s="16"/>
      <c r="G481" s="81"/>
      <c r="H481" s="568"/>
      <c r="I481" s="570"/>
      <c r="J481" s="349"/>
      <c r="K481" s="70"/>
      <c r="L481" s="63">
        <f t="shared" si="21"/>
        <v>49003.020000000004</v>
      </c>
      <c r="M481" s="25"/>
    </row>
    <row r="482" spans="2:13" ht="12.75" thickBot="1" x14ac:dyDescent="0.25">
      <c r="B482" s="64"/>
      <c r="C482" s="65"/>
      <c r="D482" s="65"/>
      <c r="E482" s="13"/>
      <c r="F482" s="13"/>
      <c r="G482" s="104"/>
      <c r="H482" s="84"/>
      <c r="I482" s="12"/>
      <c r="J482" s="12"/>
      <c r="K482" s="12"/>
      <c r="L482" s="63"/>
      <c r="M482" s="25"/>
    </row>
    <row r="483" spans="2:13" x14ac:dyDescent="0.2">
      <c r="B483" s="56"/>
      <c r="C483" s="57"/>
      <c r="D483" s="57"/>
      <c r="E483" s="5"/>
      <c r="F483" s="5"/>
      <c r="G483" s="85" t="s">
        <v>26</v>
      </c>
      <c r="H483" s="107">
        <f>SUM(H429:H464)</f>
        <v>18592</v>
      </c>
      <c r="I483" s="105">
        <f>SUM(I429:I464)</f>
        <v>5949.4400000000005</v>
      </c>
      <c r="J483" s="106">
        <f>SUM(J429:J464)</f>
        <v>12642.56</v>
      </c>
      <c r="K483" s="106">
        <f>SUM(K473:K481)</f>
        <v>7070</v>
      </c>
      <c r="L483" s="108"/>
      <c r="M483" s="25"/>
    </row>
    <row r="484" spans="2:13" ht="12.75" thickBot="1" x14ac:dyDescent="0.25">
      <c r="B484" s="71"/>
      <c r="C484" s="72"/>
      <c r="D484" s="72"/>
      <c r="E484" s="73"/>
      <c r="F484" s="73"/>
      <c r="G484" s="86" t="s">
        <v>13</v>
      </c>
      <c r="H484" s="100"/>
      <c r="I484" s="99"/>
      <c r="J484" s="87"/>
      <c r="K484" s="87"/>
      <c r="L484" s="88">
        <f>+J483-K483+L428</f>
        <v>49003.020000000011</v>
      </c>
      <c r="M484" s="25"/>
    </row>
    <row r="485" spans="2:13" x14ac:dyDescent="0.2">
      <c r="B485" s="25"/>
      <c r="H485" s="74"/>
      <c r="I485" s="25"/>
      <c r="L485" s="25"/>
      <c r="M485" s="25"/>
    </row>
    <row r="486" spans="2:13" x14ac:dyDescent="0.2">
      <c r="B486" s="544" t="s">
        <v>48</v>
      </c>
      <c r="C486" s="545"/>
      <c r="D486" s="545"/>
      <c r="E486" s="545"/>
      <c r="F486" s="545"/>
      <c r="G486" s="545"/>
      <c r="H486" s="545"/>
      <c r="I486" s="545"/>
      <c r="J486" s="545"/>
      <c r="K486" s="545"/>
      <c r="L486" s="546"/>
      <c r="M486" s="25"/>
    </row>
    <row r="487" spans="2:13" x14ac:dyDescent="0.2">
      <c r="B487" s="547" t="s">
        <v>625</v>
      </c>
      <c r="C487" s="548"/>
      <c r="D487" s="548"/>
      <c r="E487" s="548"/>
      <c r="F487" s="548"/>
      <c r="G487" s="548"/>
      <c r="H487" s="548"/>
      <c r="I487" s="548"/>
      <c r="J487" s="548"/>
      <c r="K487" s="548"/>
      <c r="L487" s="549"/>
      <c r="M487" s="25"/>
    </row>
    <row r="488" spans="2:13" x14ac:dyDescent="0.2">
      <c r="B488" s="550" t="s">
        <v>50</v>
      </c>
      <c r="C488" s="550"/>
      <c r="D488" s="551" t="s">
        <v>51</v>
      </c>
      <c r="E488" s="551"/>
      <c r="F488" s="551"/>
      <c r="G488" s="400"/>
      <c r="H488" s="400"/>
      <c r="I488" s="400"/>
      <c r="J488" s="400"/>
      <c r="K488" s="400"/>
      <c r="L488" s="401"/>
      <c r="M488" s="25"/>
    </row>
    <row r="489" spans="2:13" ht="24" x14ac:dyDescent="0.2">
      <c r="B489" s="56" t="s">
        <v>1</v>
      </c>
      <c r="C489" s="57" t="s">
        <v>2</v>
      </c>
      <c r="D489" s="57" t="s">
        <v>2</v>
      </c>
      <c r="E489" s="5" t="s">
        <v>3</v>
      </c>
      <c r="F489" s="5" t="s">
        <v>4</v>
      </c>
      <c r="G489" s="89" t="s">
        <v>6</v>
      </c>
      <c r="H489" s="83" t="s">
        <v>7</v>
      </c>
      <c r="I489" s="83" t="s">
        <v>52</v>
      </c>
      <c r="J489" s="83" t="s">
        <v>53</v>
      </c>
      <c r="K489" s="5" t="s">
        <v>10</v>
      </c>
      <c r="L489" s="5" t="s">
        <v>11</v>
      </c>
      <c r="M489" s="25"/>
    </row>
    <row r="490" spans="2:13" x14ac:dyDescent="0.2">
      <c r="B490" s="58"/>
      <c r="C490" s="59"/>
      <c r="D490" s="59"/>
      <c r="E490" s="13"/>
      <c r="F490" s="13"/>
      <c r="G490" s="24"/>
      <c r="H490" s="60"/>
      <c r="I490" s="61"/>
      <c r="J490" s="61"/>
      <c r="K490" s="61"/>
      <c r="L490" s="60">
        <f>L484</f>
        <v>49003.020000000011</v>
      </c>
      <c r="M490" s="25"/>
    </row>
    <row r="491" spans="2:13" x14ac:dyDescent="0.2">
      <c r="B491" s="110">
        <v>43678</v>
      </c>
      <c r="C491" s="353" t="s">
        <v>647</v>
      </c>
      <c r="D491" s="11"/>
      <c r="E491" s="15"/>
      <c r="F491" s="15"/>
      <c r="G491" s="15" t="s">
        <v>648</v>
      </c>
      <c r="H491" s="112">
        <v>288</v>
      </c>
      <c r="I491" s="12">
        <f>H491*0.32</f>
        <v>92.16</v>
      </c>
      <c r="J491" s="12">
        <f>H491*0.68</f>
        <v>195.84</v>
      </c>
      <c r="K491" s="12"/>
      <c r="L491" s="63">
        <f>+J491-K491+L490</f>
        <v>49198.860000000008</v>
      </c>
      <c r="M491" s="25"/>
    </row>
    <row r="492" spans="2:13" x14ac:dyDescent="0.2">
      <c r="B492" s="110">
        <v>43679</v>
      </c>
      <c r="C492" s="353" t="s">
        <v>647</v>
      </c>
      <c r="D492" s="11"/>
      <c r="E492" s="15"/>
      <c r="F492" s="15"/>
      <c r="G492" s="15" t="s">
        <v>648</v>
      </c>
      <c r="H492" s="112">
        <v>1024</v>
      </c>
      <c r="I492" s="12">
        <f t="shared" ref="I492:I529" si="23">H492*0.32</f>
        <v>327.68</v>
      </c>
      <c r="J492" s="12">
        <f t="shared" ref="J492:J529" si="24">H492*0.68</f>
        <v>696.32</v>
      </c>
      <c r="K492" s="12"/>
      <c r="L492" s="63">
        <f t="shared" ref="L492:L501" si="25">+J492-K492+L491</f>
        <v>49895.180000000008</v>
      </c>
      <c r="M492" s="25"/>
    </row>
    <row r="493" spans="2:13" x14ac:dyDescent="0.2">
      <c r="B493" s="110">
        <v>43682</v>
      </c>
      <c r="C493" s="353" t="s">
        <v>647</v>
      </c>
      <c r="D493" s="11"/>
      <c r="E493" s="15"/>
      <c r="F493" s="15"/>
      <c r="G493" s="15" t="s">
        <v>648</v>
      </c>
      <c r="H493" s="112">
        <f>1555-15</f>
        <v>1540</v>
      </c>
      <c r="I493" s="12">
        <f t="shared" si="23"/>
        <v>492.8</v>
      </c>
      <c r="J493" s="12">
        <f t="shared" si="24"/>
        <v>1047.2</v>
      </c>
      <c r="K493" s="12"/>
      <c r="L493" s="63">
        <f t="shared" si="25"/>
        <v>50942.380000000005</v>
      </c>
      <c r="M493" s="25"/>
    </row>
    <row r="494" spans="2:13" x14ac:dyDescent="0.2">
      <c r="B494" s="110">
        <v>43683</v>
      </c>
      <c r="C494" s="353" t="s">
        <v>647</v>
      </c>
      <c r="D494" s="11"/>
      <c r="E494" s="15"/>
      <c r="F494" s="15"/>
      <c r="G494" s="15" t="s">
        <v>648</v>
      </c>
      <c r="H494" s="112">
        <v>1398</v>
      </c>
      <c r="I494" s="12">
        <f t="shared" si="23"/>
        <v>447.36</v>
      </c>
      <c r="J494" s="12">
        <f t="shared" si="24"/>
        <v>950.6400000000001</v>
      </c>
      <c r="K494" s="12"/>
      <c r="L494" s="63">
        <f t="shared" si="25"/>
        <v>51893.020000000004</v>
      </c>
      <c r="M494" s="25"/>
    </row>
    <row r="495" spans="2:13" x14ac:dyDescent="0.2">
      <c r="B495" s="110">
        <v>43684</v>
      </c>
      <c r="C495" s="353" t="s">
        <v>647</v>
      </c>
      <c r="D495" s="11"/>
      <c r="E495" s="15"/>
      <c r="F495" s="15"/>
      <c r="G495" s="15" t="s">
        <v>648</v>
      </c>
      <c r="H495" s="112">
        <f>1232-144</f>
        <v>1088</v>
      </c>
      <c r="I495" s="12">
        <f t="shared" si="23"/>
        <v>348.16</v>
      </c>
      <c r="J495" s="12">
        <f t="shared" si="24"/>
        <v>739.84</v>
      </c>
      <c r="K495" s="12"/>
      <c r="L495" s="63">
        <f t="shared" si="25"/>
        <v>52632.86</v>
      </c>
      <c r="M495" s="25"/>
    </row>
    <row r="496" spans="2:13" x14ac:dyDescent="0.2">
      <c r="B496" s="110">
        <v>43685</v>
      </c>
      <c r="C496" s="353" t="s">
        <v>647</v>
      </c>
      <c r="D496" s="11"/>
      <c r="E496" s="15"/>
      <c r="F496" s="15"/>
      <c r="G496" s="15" t="s">
        <v>648</v>
      </c>
      <c r="H496" s="112">
        <v>144</v>
      </c>
      <c r="I496" s="12">
        <f t="shared" si="23"/>
        <v>46.08</v>
      </c>
      <c r="J496" s="12">
        <f t="shared" si="24"/>
        <v>97.92</v>
      </c>
      <c r="K496" s="12"/>
      <c r="L496" s="63">
        <f t="shared" si="25"/>
        <v>52730.78</v>
      </c>
      <c r="M496" s="25"/>
    </row>
    <row r="497" spans="2:13" x14ac:dyDescent="0.2">
      <c r="B497" s="110">
        <v>43686</v>
      </c>
      <c r="C497" s="353" t="s">
        <v>647</v>
      </c>
      <c r="D497" s="11"/>
      <c r="E497" s="15"/>
      <c r="F497" s="15"/>
      <c r="G497" s="15" t="s">
        <v>648</v>
      </c>
      <c r="H497" s="112">
        <v>516</v>
      </c>
      <c r="I497" s="12">
        <f t="shared" si="23"/>
        <v>165.12</v>
      </c>
      <c r="J497" s="12">
        <f t="shared" si="24"/>
        <v>350.88000000000005</v>
      </c>
      <c r="K497" s="12"/>
      <c r="L497" s="63">
        <f t="shared" si="25"/>
        <v>53081.659999999996</v>
      </c>
      <c r="M497" s="25"/>
    </row>
    <row r="498" spans="2:13" ht="11.25" customHeight="1" x14ac:dyDescent="0.2">
      <c r="B498" s="110">
        <v>43687</v>
      </c>
      <c r="C498" s="353" t="s">
        <v>647</v>
      </c>
      <c r="D498" s="77"/>
      <c r="E498" s="15"/>
      <c r="F498" s="15"/>
      <c r="G498" s="15" t="s">
        <v>648</v>
      </c>
      <c r="H498" s="112">
        <v>145</v>
      </c>
      <c r="I498" s="12">
        <f t="shared" si="23"/>
        <v>46.4</v>
      </c>
      <c r="J498" s="12">
        <f t="shared" si="24"/>
        <v>98.600000000000009</v>
      </c>
      <c r="K498" s="12"/>
      <c r="L498" s="63">
        <f t="shared" si="25"/>
        <v>53180.259999999995</v>
      </c>
      <c r="M498" s="25"/>
    </row>
    <row r="499" spans="2:13" x14ac:dyDescent="0.2">
      <c r="B499" s="110">
        <v>43689</v>
      </c>
      <c r="C499" s="353" t="s">
        <v>647</v>
      </c>
      <c r="D499" s="11"/>
      <c r="E499" s="15"/>
      <c r="F499" s="15"/>
      <c r="G499" s="15" t="s">
        <v>648</v>
      </c>
      <c r="H499" s="112">
        <f>790-144</f>
        <v>646</v>
      </c>
      <c r="I499" s="12">
        <f t="shared" si="23"/>
        <v>206.72</v>
      </c>
      <c r="J499" s="12">
        <f t="shared" si="24"/>
        <v>439.28000000000003</v>
      </c>
      <c r="K499" s="12"/>
      <c r="L499" s="63">
        <f t="shared" si="25"/>
        <v>53619.539999999994</v>
      </c>
      <c r="M499" s="25"/>
    </row>
    <row r="500" spans="2:13" x14ac:dyDescent="0.2">
      <c r="B500" s="110">
        <v>43690</v>
      </c>
      <c r="C500" s="353" t="s">
        <v>647</v>
      </c>
      <c r="D500" s="11"/>
      <c r="E500" s="15"/>
      <c r="F500" s="15"/>
      <c r="G500" s="15" t="s">
        <v>648</v>
      </c>
      <c r="H500" s="112">
        <f>617-323</f>
        <v>294</v>
      </c>
      <c r="I500" s="12">
        <f t="shared" si="23"/>
        <v>94.08</v>
      </c>
      <c r="J500" s="12">
        <f t="shared" si="24"/>
        <v>199.92000000000002</v>
      </c>
      <c r="K500" s="12"/>
      <c r="L500" s="63">
        <f t="shared" si="25"/>
        <v>53819.459999999992</v>
      </c>
      <c r="M500" s="25"/>
    </row>
    <row r="501" spans="2:13" x14ac:dyDescent="0.2">
      <c r="B501" s="110">
        <v>43691</v>
      </c>
      <c r="C501" s="353" t="s">
        <v>647</v>
      </c>
      <c r="D501" s="11"/>
      <c r="E501" s="15"/>
      <c r="F501" s="15"/>
      <c r="G501" s="15" t="s">
        <v>648</v>
      </c>
      <c r="H501" s="112">
        <v>338</v>
      </c>
      <c r="I501" s="12">
        <f t="shared" si="23"/>
        <v>108.16</v>
      </c>
      <c r="J501" s="12">
        <f t="shared" si="24"/>
        <v>229.84</v>
      </c>
      <c r="K501" s="12"/>
      <c r="L501" s="63">
        <f t="shared" si="25"/>
        <v>54049.299999999988</v>
      </c>
      <c r="M501" s="25"/>
    </row>
    <row r="502" spans="2:13" x14ac:dyDescent="0.2">
      <c r="B502" s="110">
        <v>43692</v>
      </c>
      <c r="C502" s="353" t="s">
        <v>647</v>
      </c>
      <c r="D502" s="65"/>
      <c r="E502" s="13"/>
      <c r="F502" s="15"/>
      <c r="G502" s="15" t="s">
        <v>648</v>
      </c>
      <c r="H502" s="112">
        <f>1760-180</f>
        <v>1580</v>
      </c>
      <c r="I502" s="12">
        <f t="shared" si="23"/>
        <v>505.6</v>
      </c>
      <c r="J502" s="12">
        <f t="shared" si="24"/>
        <v>1074.4000000000001</v>
      </c>
      <c r="K502" s="12"/>
      <c r="L502" s="63">
        <f>+J502-K502+L501</f>
        <v>55123.69999999999</v>
      </c>
      <c r="M502" s="25"/>
    </row>
    <row r="503" spans="2:13" x14ac:dyDescent="0.2">
      <c r="B503" s="110">
        <v>43693</v>
      </c>
      <c r="C503" s="353" t="s">
        <v>655</v>
      </c>
      <c r="D503" s="65"/>
      <c r="E503" s="13"/>
      <c r="F503" s="15"/>
      <c r="G503" s="15" t="s">
        <v>656</v>
      </c>
      <c r="H503" s="112">
        <v>780</v>
      </c>
      <c r="I503" s="12">
        <f t="shared" si="23"/>
        <v>249.6</v>
      </c>
      <c r="J503" s="12">
        <f t="shared" si="24"/>
        <v>530.40000000000009</v>
      </c>
      <c r="K503" s="12"/>
      <c r="L503" s="63">
        <f t="shared" ref="L503:L556" si="26">+J503-K503+L502</f>
        <v>55654.099999999991</v>
      </c>
      <c r="M503" s="25"/>
    </row>
    <row r="504" spans="2:13" x14ac:dyDescent="0.2">
      <c r="B504" s="110">
        <v>43696</v>
      </c>
      <c r="C504" s="353" t="s">
        <v>655</v>
      </c>
      <c r="D504" s="65"/>
      <c r="E504" s="13"/>
      <c r="F504" s="15"/>
      <c r="G504" s="15" t="s">
        <v>656</v>
      </c>
      <c r="H504" s="112">
        <v>452</v>
      </c>
      <c r="I504" s="12">
        <f t="shared" si="23"/>
        <v>144.64000000000001</v>
      </c>
      <c r="J504" s="12">
        <f t="shared" si="24"/>
        <v>307.36</v>
      </c>
      <c r="K504" s="12"/>
      <c r="L504" s="63">
        <f t="shared" si="26"/>
        <v>55961.459999999992</v>
      </c>
      <c r="M504" s="25"/>
    </row>
    <row r="505" spans="2:13" x14ac:dyDescent="0.2">
      <c r="B505" s="110">
        <v>43698</v>
      </c>
      <c r="C505" s="353" t="s">
        <v>655</v>
      </c>
      <c r="D505" s="65"/>
      <c r="E505" s="13"/>
      <c r="F505" s="15"/>
      <c r="G505" s="15" t="s">
        <v>656</v>
      </c>
      <c r="H505" s="112">
        <f>1029+924</f>
        <v>1953</v>
      </c>
      <c r="I505" s="12">
        <f t="shared" si="23"/>
        <v>624.96</v>
      </c>
      <c r="J505" s="12">
        <f t="shared" si="24"/>
        <v>1328.0400000000002</v>
      </c>
      <c r="K505" s="12"/>
      <c r="L505" s="63">
        <f t="shared" si="26"/>
        <v>57289.499999999993</v>
      </c>
      <c r="M505" s="25"/>
    </row>
    <row r="506" spans="2:13" x14ac:dyDescent="0.2">
      <c r="B506" s="110">
        <v>43699</v>
      </c>
      <c r="C506" s="353" t="s">
        <v>655</v>
      </c>
      <c r="D506" s="65"/>
      <c r="E506" s="13"/>
      <c r="F506" s="15"/>
      <c r="G506" s="15" t="s">
        <v>656</v>
      </c>
      <c r="H506" s="112">
        <f>666-208</f>
        <v>458</v>
      </c>
      <c r="I506" s="12">
        <f t="shared" si="23"/>
        <v>146.56</v>
      </c>
      <c r="J506" s="12">
        <f t="shared" si="24"/>
        <v>311.44</v>
      </c>
      <c r="K506" s="12"/>
      <c r="L506" s="63">
        <f t="shared" si="26"/>
        <v>57600.939999999995</v>
      </c>
      <c r="M506" s="25"/>
    </row>
    <row r="507" spans="2:13" x14ac:dyDescent="0.2">
      <c r="B507" s="110">
        <v>43700</v>
      </c>
      <c r="C507" s="353" t="s">
        <v>655</v>
      </c>
      <c r="D507" s="65"/>
      <c r="E507" s="13"/>
      <c r="F507" s="15"/>
      <c r="G507" s="15" t="s">
        <v>656</v>
      </c>
      <c r="H507" s="112">
        <f>964+170</f>
        <v>1134</v>
      </c>
      <c r="I507" s="12">
        <f t="shared" si="23"/>
        <v>362.88</v>
      </c>
      <c r="J507" s="12">
        <f t="shared" si="24"/>
        <v>771.12</v>
      </c>
      <c r="K507" s="12"/>
      <c r="L507" s="63">
        <f t="shared" si="26"/>
        <v>58372.06</v>
      </c>
      <c r="M507" s="25"/>
    </row>
    <row r="508" spans="2:13" x14ac:dyDescent="0.2">
      <c r="B508" s="110">
        <v>43703</v>
      </c>
      <c r="C508" s="353" t="s">
        <v>655</v>
      </c>
      <c r="D508" s="65"/>
      <c r="E508" s="13"/>
      <c r="F508" s="15"/>
      <c r="G508" s="15" t="s">
        <v>656</v>
      </c>
      <c r="H508" s="112">
        <f>616+308</f>
        <v>924</v>
      </c>
      <c r="I508" s="12">
        <f t="shared" si="23"/>
        <v>295.68</v>
      </c>
      <c r="J508" s="12">
        <f t="shared" si="24"/>
        <v>628.32000000000005</v>
      </c>
      <c r="K508" s="12"/>
      <c r="L508" s="63">
        <f t="shared" si="26"/>
        <v>59000.38</v>
      </c>
      <c r="M508" s="25"/>
    </row>
    <row r="509" spans="2:13" x14ac:dyDescent="0.2">
      <c r="B509" s="110">
        <v>43704</v>
      </c>
      <c r="C509" s="353" t="s">
        <v>657</v>
      </c>
      <c r="D509" s="65"/>
      <c r="E509" s="13"/>
      <c r="F509" s="15"/>
      <c r="G509" s="15" t="s">
        <v>342</v>
      </c>
      <c r="H509" s="112">
        <v>472</v>
      </c>
      <c r="I509" s="12">
        <f t="shared" si="23"/>
        <v>151.04</v>
      </c>
      <c r="J509" s="12">
        <f t="shared" si="24"/>
        <v>320.96000000000004</v>
      </c>
      <c r="K509" s="12"/>
      <c r="L509" s="63">
        <f t="shared" si="26"/>
        <v>59321.34</v>
      </c>
      <c r="M509" s="25"/>
    </row>
    <row r="510" spans="2:13" x14ac:dyDescent="0.2">
      <c r="B510" s="110">
        <v>43705</v>
      </c>
      <c r="C510" s="353" t="s">
        <v>657</v>
      </c>
      <c r="D510" s="65"/>
      <c r="E510" s="13"/>
      <c r="F510" s="15"/>
      <c r="G510" s="15" t="s">
        <v>342</v>
      </c>
      <c r="H510" s="112">
        <v>2276</v>
      </c>
      <c r="I510" s="12">
        <f t="shared" si="23"/>
        <v>728.32</v>
      </c>
      <c r="J510" s="12">
        <f t="shared" si="24"/>
        <v>1547.68</v>
      </c>
      <c r="K510" s="12"/>
      <c r="L510" s="63">
        <f t="shared" si="26"/>
        <v>60869.02</v>
      </c>
      <c r="M510" s="25"/>
    </row>
    <row r="511" spans="2:13" x14ac:dyDescent="0.2">
      <c r="B511" s="110">
        <v>43678</v>
      </c>
      <c r="C511" s="353"/>
      <c r="D511" s="65"/>
      <c r="E511" s="13"/>
      <c r="F511" s="15"/>
      <c r="G511" s="15"/>
      <c r="H511" s="112">
        <v>780</v>
      </c>
      <c r="I511" s="12">
        <f t="shared" si="23"/>
        <v>249.6</v>
      </c>
      <c r="J511" s="12">
        <f t="shared" si="24"/>
        <v>530.40000000000009</v>
      </c>
      <c r="K511" s="12"/>
      <c r="L511" s="63">
        <f t="shared" si="26"/>
        <v>61399.42</v>
      </c>
      <c r="M511" s="25"/>
    </row>
    <row r="512" spans="2:13" x14ac:dyDescent="0.2">
      <c r="B512" s="110">
        <v>43679</v>
      </c>
      <c r="C512" s="353"/>
      <c r="D512" s="65"/>
      <c r="E512" s="13"/>
      <c r="F512" s="15"/>
      <c r="G512" s="15"/>
      <c r="H512" s="112">
        <v>404</v>
      </c>
      <c r="I512" s="12">
        <f t="shared" si="23"/>
        <v>129.28</v>
      </c>
      <c r="J512" s="12">
        <f t="shared" si="24"/>
        <v>274.72000000000003</v>
      </c>
      <c r="K512" s="12"/>
      <c r="L512" s="63">
        <f t="shared" si="26"/>
        <v>61674.14</v>
      </c>
      <c r="M512" s="25"/>
    </row>
    <row r="513" spans="2:13" x14ac:dyDescent="0.2">
      <c r="B513" s="110">
        <v>43682</v>
      </c>
      <c r="C513" s="353"/>
      <c r="D513" s="65"/>
      <c r="E513" s="13"/>
      <c r="F513" s="15"/>
      <c r="G513" s="15"/>
      <c r="H513" s="112">
        <v>144</v>
      </c>
      <c r="I513" s="12">
        <f t="shared" si="23"/>
        <v>46.08</v>
      </c>
      <c r="J513" s="12">
        <f t="shared" si="24"/>
        <v>97.92</v>
      </c>
      <c r="K513" s="12"/>
      <c r="L513" s="63">
        <f t="shared" si="26"/>
        <v>61772.06</v>
      </c>
      <c r="M513" s="25"/>
    </row>
    <row r="514" spans="2:13" x14ac:dyDescent="0.2">
      <c r="B514" s="110">
        <v>43683</v>
      </c>
      <c r="C514" s="353"/>
      <c r="D514" s="65"/>
      <c r="E514" s="13"/>
      <c r="F514" s="15"/>
      <c r="G514" s="15"/>
      <c r="H514" s="112">
        <v>774</v>
      </c>
      <c r="I514" s="12">
        <f t="shared" si="23"/>
        <v>247.68</v>
      </c>
      <c r="J514" s="12">
        <f t="shared" si="24"/>
        <v>526.32000000000005</v>
      </c>
      <c r="K514" s="12"/>
      <c r="L514" s="63">
        <f t="shared" si="26"/>
        <v>62298.38</v>
      </c>
      <c r="M514" s="25"/>
    </row>
    <row r="515" spans="2:13" x14ac:dyDescent="0.2">
      <c r="B515" s="110">
        <v>43684</v>
      </c>
      <c r="C515" s="353"/>
      <c r="D515" s="65"/>
      <c r="E515" s="13"/>
      <c r="F515" s="15"/>
      <c r="G515" s="15"/>
      <c r="H515" s="112">
        <v>1232</v>
      </c>
      <c r="I515" s="12">
        <f t="shared" si="23"/>
        <v>394.24</v>
      </c>
      <c r="J515" s="12">
        <f t="shared" si="24"/>
        <v>837.7600000000001</v>
      </c>
      <c r="K515" s="12"/>
      <c r="L515" s="63">
        <f t="shared" si="26"/>
        <v>63136.14</v>
      </c>
      <c r="M515" s="25"/>
    </row>
    <row r="516" spans="2:13" x14ac:dyDescent="0.2">
      <c r="B516" s="110">
        <v>43686</v>
      </c>
      <c r="C516" s="353"/>
      <c r="D516" s="65"/>
      <c r="E516" s="13"/>
      <c r="F516" s="15"/>
      <c r="G516" s="15"/>
      <c r="H516" s="112">
        <v>1066</v>
      </c>
      <c r="I516" s="12">
        <f t="shared" si="23"/>
        <v>341.12</v>
      </c>
      <c r="J516" s="12">
        <f t="shared" si="24"/>
        <v>724.88</v>
      </c>
      <c r="K516" s="12"/>
      <c r="L516" s="63">
        <f t="shared" si="26"/>
        <v>63861.02</v>
      </c>
      <c r="M516" s="25"/>
    </row>
    <row r="517" spans="2:13" x14ac:dyDescent="0.2">
      <c r="B517" s="110">
        <v>43687</v>
      </c>
      <c r="C517" s="353"/>
      <c r="D517" s="65"/>
      <c r="E517" s="13"/>
      <c r="F517" s="15"/>
      <c r="G517" s="15"/>
      <c r="H517" s="112">
        <v>308</v>
      </c>
      <c r="I517" s="12">
        <f t="shared" si="23"/>
        <v>98.56</v>
      </c>
      <c r="J517" s="12">
        <f t="shared" si="24"/>
        <v>209.44000000000003</v>
      </c>
      <c r="K517" s="12"/>
      <c r="L517" s="63">
        <f t="shared" si="26"/>
        <v>64070.46</v>
      </c>
      <c r="M517" s="25"/>
    </row>
    <row r="518" spans="2:13" x14ac:dyDescent="0.2">
      <c r="B518" s="110">
        <v>43689</v>
      </c>
      <c r="C518" s="353"/>
      <c r="D518" s="65"/>
      <c r="E518" s="13"/>
      <c r="F518" s="15"/>
      <c r="G518" s="15"/>
      <c r="H518" s="112">
        <v>1306</v>
      </c>
      <c r="I518" s="12">
        <f t="shared" si="23"/>
        <v>417.92</v>
      </c>
      <c r="J518" s="12">
        <f t="shared" si="24"/>
        <v>888.08</v>
      </c>
      <c r="K518" s="12"/>
      <c r="L518" s="63">
        <f t="shared" si="26"/>
        <v>64958.54</v>
      </c>
      <c r="M518" s="25"/>
    </row>
    <row r="519" spans="2:13" x14ac:dyDescent="0.2">
      <c r="B519" s="110">
        <v>43690</v>
      </c>
      <c r="C519" s="353"/>
      <c r="D519" s="65"/>
      <c r="E519" s="13"/>
      <c r="F519" s="15"/>
      <c r="G519" s="15"/>
      <c r="H519" s="112">
        <v>452</v>
      </c>
      <c r="I519" s="12">
        <f t="shared" si="23"/>
        <v>144.64000000000001</v>
      </c>
      <c r="J519" s="12">
        <f t="shared" si="24"/>
        <v>307.36</v>
      </c>
      <c r="K519" s="12"/>
      <c r="L519" s="63">
        <f t="shared" si="26"/>
        <v>65265.9</v>
      </c>
      <c r="M519" s="25"/>
    </row>
    <row r="520" spans="2:13" x14ac:dyDescent="0.2">
      <c r="B520" s="110">
        <v>43696</v>
      </c>
      <c r="C520" s="353"/>
      <c r="D520" s="65"/>
      <c r="E520" s="13"/>
      <c r="F520" s="15"/>
      <c r="G520" s="15"/>
      <c r="H520" s="112">
        <v>164</v>
      </c>
      <c r="I520" s="12">
        <f t="shared" si="23"/>
        <v>52.480000000000004</v>
      </c>
      <c r="J520" s="12">
        <f t="shared" si="24"/>
        <v>111.52000000000001</v>
      </c>
      <c r="K520" s="12"/>
      <c r="L520" s="63">
        <f t="shared" si="26"/>
        <v>65377.42</v>
      </c>
      <c r="M520" s="25"/>
    </row>
    <row r="521" spans="2:13" x14ac:dyDescent="0.2">
      <c r="B521" s="110">
        <v>43697</v>
      </c>
      <c r="C521" s="353"/>
      <c r="D521" s="65"/>
      <c r="E521" s="13"/>
      <c r="F521" s="15"/>
      <c r="G521" s="15"/>
      <c r="H521" s="112">
        <v>760</v>
      </c>
      <c r="I521" s="12">
        <f t="shared" si="23"/>
        <v>243.20000000000002</v>
      </c>
      <c r="J521" s="12">
        <f t="shared" si="24"/>
        <v>516.80000000000007</v>
      </c>
      <c r="K521" s="12"/>
      <c r="L521" s="63">
        <f t="shared" si="26"/>
        <v>65894.22</v>
      </c>
      <c r="M521" s="25"/>
    </row>
    <row r="522" spans="2:13" x14ac:dyDescent="0.2">
      <c r="B522" s="110">
        <v>43698</v>
      </c>
      <c r="C522" s="353"/>
      <c r="D522" s="65"/>
      <c r="E522" s="13"/>
      <c r="F522" s="15"/>
      <c r="G522" s="15"/>
      <c r="H522" s="112">
        <v>1684</v>
      </c>
      <c r="I522" s="12">
        <f t="shared" si="23"/>
        <v>538.88</v>
      </c>
      <c r="J522" s="12">
        <f t="shared" si="24"/>
        <v>1145.1200000000001</v>
      </c>
      <c r="K522" s="12"/>
      <c r="L522" s="63">
        <f t="shared" si="26"/>
        <v>67039.34</v>
      </c>
      <c r="M522" s="25"/>
    </row>
    <row r="523" spans="2:13" x14ac:dyDescent="0.2">
      <c r="B523" s="110">
        <v>43730</v>
      </c>
      <c r="C523" s="353"/>
      <c r="D523" s="65"/>
      <c r="E523" s="13"/>
      <c r="F523" s="15"/>
      <c r="G523" s="15"/>
      <c r="H523" s="112">
        <v>358</v>
      </c>
      <c r="I523" s="12">
        <f t="shared" si="23"/>
        <v>114.56</v>
      </c>
      <c r="J523" s="12">
        <f t="shared" si="24"/>
        <v>243.44000000000003</v>
      </c>
      <c r="K523" s="12"/>
      <c r="L523" s="63">
        <f t="shared" si="26"/>
        <v>67282.78</v>
      </c>
      <c r="M523" s="25"/>
    </row>
    <row r="524" spans="2:13" x14ac:dyDescent="0.2">
      <c r="B524" s="110">
        <v>43700</v>
      </c>
      <c r="C524" s="353"/>
      <c r="D524" s="65"/>
      <c r="E524" s="13"/>
      <c r="F524" s="15"/>
      <c r="G524" s="15"/>
      <c r="H524" s="112">
        <v>666</v>
      </c>
      <c r="I524" s="12">
        <f t="shared" si="23"/>
        <v>213.12</v>
      </c>
      <c r="J524" s="12">
        <f t="shared" si="24"/>
        <v>452.88000000000005</v>
      </c>
      <c r="K524" s="12"/>
      <c r="L524" s="63">
        <f t="shared" si="26"/>
        <v>67735.66</v>
      </c>
      <c r="M524" s="25"/>
    </row>
    <row r="525" spans="2:13" x14ac:dyDescent="0.2">
      <c r="B525" s="110">
        <v>43703</v>
      </c>
      <c r="C525" s="353"/>
      <c r="D525" s="65"/>
      <c r="E525" s="13"/>
      <c r="F525" s="15"/>
      <c r="G525" s="15"/>
      <c r="H525" s="112">
        <v>596</v>
      </c>
      <c r="I525" s="12">
        <f t="shared" si="23"/>
        <v>190.72</v>
      </c>
      <c r="J525" s="12">
        <f t="shared" si="24"/>
        <v>405.28000000000003</v>
      </c>
      <c r="K525" s="12"/>
      <c r="L525" s="63">
        <f t="shared" si="26"/>
        <v>68140.94</v>
      </c>
      <c r="M525" s="25"/>
    </row>
    <row r="526" spans="2:13" x14ac:dyDescent="0.2">
      <c r="B526" s="110">
        <v>43704</v>
      </c>
      <c r="C526" s="353"/>
      <c r="D526" s="65"/>
      <c r="E526" s="13"/>
      <c r="F526" s="15"/>
      <c r="G526" s="15"/>
      <c r="H526" s="112">
        <v>408</v>
      </c>
      <c r="I526" s="12">
        <f t="shared" si="23"/>
        <v>130.56</v>
      </c>
      <c r="J526" s="12">
        <f t="shared" si="24"/>
        <v>277.44</v>
      </c>
      <c r="K526" s="12"/>
      <c r="L526" s="63">
        <f t="shared" si="26"/>
        <v>68418.38</v>
      </c>
      <c r="M526" s="25"/>
    </row>
    <row r="527" spans="2:13" x14ac:dyDescent="0.2">
      <c r="B527" s="110">
        <v>43678</v>
      </c>
      <c r="C527" s="353"/>
      <c r="D527" s="65"/>
      <c r="E527" s="13"/>
      <c r="F527" s="15"/>
      <c r="G527" s="15"/>
      <c r="H527" s="112">
        <v>144</v>
      </c>
      <c r="I527" s="12">
        <f t="shared" si="23"/>
        <v>46.08</v>
      </c>
      <c r="J527" s="12">
        <f t="shared" si="24"/>
        <v>97.92</v>
      </c>
      <c r="K527" s="12"/>
      <c r="L527" s="63">
        <f t="shared" si="26"/>
        <v>68516.3</v>
      </c>
      <c r="M527" s="25"/>
    </row>
    <row r="528" spans="2:13" x14ac:dyDescent="0.2">
      <c r="B528" s="110">
        <v>43679</v>
      </c>
      <c r="C528" s="353"/>
      <c r="D528" s="65"/>
      <c r="E528" s="13"/>
      <c r="F528" s="15"/>
      <c r="G528" s="15"/>
      <c r="H528" s="112">
        <v>20</v>
      </c>
      <c r="I528" s="12">
        <f t="shared" si="23"/>
        <v>6.4</v>
      </c>
      <c r="J528" s="12">
        <f t="shared" si="24"/>
        <v>13.600000000000001</v>
      </c>
      <c r="K528" s="12"/>
      <c r="L528" s="63">
        <f t="shared" si="26"/>
        <v>68529.900000000009</v>
      </c>
      <c r="M528" s="25"/>
    </row>
    <row r="529" spans="2:13" x14ac:dyDescent="0.2">
      <c r="B529" s="110">
        <v>43684</v>
      </c>
      <c r="C529" s="353"/>
      <c r="D529" s="65"/>
      <c r="E529" s="13"/>
      <c r="F529" s="15"/>
      <c r="G529" s="15"/>
      <c r="H529" s="112">
        <v>144</v>
      </c>
      <c r="I529" s="12">
        <f t="shared" si="23"/>
        <v>46.08</v>
      </c>
      <c r="J529" s="12">
        <f t="shared" si="24"/>
        <v>97.92</v>
      </c>
      <c r="K529" s="12"/>
      <c r="L529" s="63">
        <f t="shared" si="26"/>
        <v>68627.820000000007</v>
      </c>
      <c r="M529" s="25"/>
    </row>
    <row r="530" spans="2:13" x14ac:dyDescent="0.2">
      <c r="B530" s="110"/>
      <c r="C530" s="65"/>
      <c r="D530" s="65"/>
      <c r="E530" s="13"/>
      <c r="F530" s="15"/>
      <c r="G530" s="66"/>
      <c r="H530" s="112"/>
      <c r="I530" s="12"/>
      <c r="J530" s="12"/>
      <c r="K530" s="12"/>
      <c r="L530" s="63">
        <f t="shared" si="26"/>
        <v>68627.820000000007</v>
      </c>
      <c r="M530" s="25"/>
    </row>
    <row r="531" spans="2:13" x14ac:dyDescent="0.2">
      <c r="B531" s="547" t="s">
        <v>256</v>
      </c>
      <c r="C531" s="548"/>
      <c r="D531" s="548"/>
      <c r="E531" s="548"/>
      <c r="F531" s="548"/>
      <c r="G531" s="548"/>
      <c r="H531" s="548"/>
      <c r="I531" s="548"/>
      <c r="J531" s="548"/>
      <c r="K531" s="548"/>
      <c r="L531" s="63">
        <f t="shared" si="26"/>
        <v>68627.820000000007</v>
      </c>
      <c r="M531" s="25"/>
    </row>
    <row r="532" spans="2:13" x14ac:dyDescent="0.2">
      <c r="B532" s="552" t="s">
        <v>56</v>
      </c>
      <c r="C532" s="553"/>
      <c r="D532" s="554" t="s">
        <v>51</v>
      </c>
      <c r="E532" s="554"/>
      <c r="F532" s="554"/>
      <c r="G532" s="94"/>
      <c r="H532" s="95"/>
      <c r="I532" s="96"/>
      <c r="J532" s="96"/>
      <c r="K532" s="97"/>
      <c r="L532" s="63">
        <f t="shared" si="26"/>
        <v>68627.820000000007</v>
      </c>
      <c r="M532" s="25"/>
    </row>
    <row r="533" spans="2:13" x14ac:dyDescent="0.2">
      <c r="B533" s="91" t="s">
        <v>1</v>
      </c>
      <c r="C533" s="92" t="s">
        <v>57</v>
      </c>
      <c r="D533" s="92" t="s">
        <v>2</v>
      </c>
      <c r="E533" s="402" t="s">
        <v>3</v>
      </c>
      <c r="F533" s="402" t="s">
        <v>4</v>
      </c>
      <c r="G533" s="561" t="s">
        <v>58</v>
      </c>
      <c r="H533" s="562"/>
      <c r="I533" s="562"/>
      <c r="J533" s="563"/>
      <c r="K533" s="90"/>
      <c r="L533" s="63">
        <f t="shared" si="26"/>
        <v>68627.820000000007</v>
      </c>
      <c r="M533" s="25"/>
    </row>
    <row r="534" spans="2:13" ht="42" customHeight="1" x14ac:dyDescent="0.2">
      <c r="B534" s="64">
        <v>43678</v>
      </c>
      <c r="C534" s="349" t="s">
        <v>627</v>
      </c>
      <c r="D534" s="349"/>
      <c r="E534" s="3"/>
      <c r="F534" s="395" t="s">
        <v>713</v>
      </c>
      <c r="G534" s="580" t="s">
        <v>628</v>
      </c>
      <c r="H534" s="581"/>
      <c r="I534" s="582"/>
      <c r="J534" s="349"/>
      <c r="K534" s="70">
        <f>450-450</f>
        <v>0</v>
      </c>
      <c r="L534" s="63">
        <f t="shared" si="26"/>
        <v>68627.820000000007</v>
      </c>
      <c r="M534" s="25"/>
    </row>
    <row r="535" spans="2:13" ht="27.75" customHeight="1" x14ac:dyDescent="0.2">
      <c r="B535" s="64"/>
      <c r="C535" s="77"/>
      <c r="D535" s="78"/>
      <c r="E535" s="3"/>
      <c r="F535" s="395" t="s">
        <v>713</v>
      </c>
      <c r="G535" s="580" t="s">
        <v>629</v>
      </c>
      <c r="H535" s="581"/>
      <c r="I535" s="582"/>
      <c r="J535" s="12"/>
      <c r="K535" s="12">
        <f>370-370</f>
        <v>0</v>
      </c>
      <c r="L535" s="63">
        <f t="shared" si="26"/>
        <v>68627.820000000007</v>
      </c>
      <c r="M535" s="25"/>
    </row>
    <row r="536" spans="2:13" ht="23.25" customHeight="1" x14ac:dyDescent="0.2">
      <c r="B536" s="64"/>
      <c r="C536" s="78"/>
      <c r="D536" s="78"/>
      <c r="E536" s="3"/>
      <c r="F536" s="16"/>
      <c r="G536" s="574" t="s">
        <v>630</v>
      </c>
      <c r="H536" s="575"/>
      <c r="I536" s="576"/>
      <c r="J536" s="12"/>
      <c r="K536" s="12">
        <v>1250</v>
      </c>
      <c r="L536" s="63">
        <f t="shared" si="26"/>
        <v>67377.820000000007</v>
      </c>
      <c r="M536" s="25"/>
    </row>
    <row r="537" spans="2:13" ht="26.25" customHeight="1" x14ac:dyDescent="0.2">
      <c r="B537" s="64"/>
      <c r="C537" s="78"/>
      <c r="D537" s="78"/>
      <c r="E537" s="3"/>
      <c r="F537" s="395" t="s">
        <v>713</v>
      </c>
      <c r="G537" s="577" t="s">
        <v>631</v>
      </c>
      <c r="H537" s="578"/>
      <c r="I537" s="579"/>
      <c r="J537" s="12"/>
      <c r="K537" s="12">
        <f>380-380</f>
        <v>0</v>
      </c>
      <c r="L537" s="63">
        <f t="shared" si="26"/>
        <v>67377.820000000007</v>
      </c>
      <c r="M537" s="25"/>
    </row>
    <row r="538" spans="2:13" ht="28.5" customHeight="1" x14ac:dyDescent="0.2">
      <c r="B538" s="64"/>
      <c r="C538" s="78"/>
      <c r="D538" s="78"/>
      <c r="E538" s="3"/>
      <c r="F538" s="395" t="s">
        <v>713</v>
      </c>
      <c r="G538" s="577" t="s">
        <v>632</v>
      </c>
      <c r="H538" s="578"/>
      <c r="I538" s="579"/>
      <c r="J538" s="12"/>
      <c r="K538" s="12">
        <f>370-370</f>
        <v>0</v>
      </c>
      <c r="L538" s="63">
        <f t="shared" si="26"/>
        <v>67377.820000000007</v>
      </c>
      <c r="M538" s="25"/>
    </row>
    <row r="539" spans="2:13" ht="35.25" customHeight="1" x14ac:dyDescent="0.2">
      <c r="B539" s="64">
        <v>43692</v>
      </c>
      <c r="C539" s="77" t="s">
        <v>635</v>
      </c>
      <c r="D539" s="78"/>
      <c r="E539" s="3"/>
      <c r="F539" s="16"/>
      <c r="G539" s="571" t="s">
        <v>636</v>
      </c>
      <c r="H539" s="572"/>
      <c r="I539" s="573"/>
      <c r="J539" s="372"/>
      <c r="K539" s="12">
        <v>450</v>
      </c>
      <c r="L539" s="63">
        <f t="shared" si="26"/>
        <v>66927.820000000007</v>
      </c>
      <c r="M539" s="25"/>
    </row>
    <row r="540" spans="2:13" ht="36.75" customHeight="1" x14ac:dyDescent="0.2">
      <c r="B540" s="64"/>
      <c r="C540" s="78"/>
      <c r="D540" s="78"/>
      <c r="E540" s="3"/>
      <c r="F540" s="16"/>
      <c r="G540" s="571" t="s">
        <v>637</v>
      </c>
      <c r="H540" s="572"/>
      <c r="I540" s="573"/>
      <c r="J540" s="372"/>
      <c r="K540" s="12">
        <v>1040</v>
      </c>
      <c r="L540" s="63">
        <f t="shared" si="26"/>
        <v>65887.820000000007</v>
      </c>
      <c r="M540" s="25"/>
    </row>
    <row r="541" spans="2:13" ht="52.5" customHeight="1" x14ac:dyDescent="0.2">
      <c r="B541" s="64">
        <v>43692</v>
      </c>
      <c r="C541" s="77" t="s">
        <v>638</v>
      </c>
      <c r="D541" s="78"/>
      <c r="E541" s="3"/>
      <c r="F541" s="16"/>
      <c r="G541" s="571" t="s">
        <v>639</v>
      </c>
      <c r="H541" s="572"/>
      <c r="I541" s="573"/>
      <c r="J541" s="12"/>
      <c r="K541" s="12">
        <v>800</v>
      </c>
      <c r="L541" s="63">
        <f t="shared" si="26"/>
        <v>65087.820000000007</v>
      </c>
      <c r="M541" s="25"/>
    </row>
    <row r="542" spans="2:13" ht="50.25" customHeight="1" x14ac:dyDescent="0.2">
      <c r="B542" s="64"/>
      <c r="C542" s="78"/>
      <c r="D542" s="78"/>
      <c r="E542" s="3"/>
      <c r="F542" s="16"/>
      <c r="G542" s="571" t="s">
        <v>640</v>
      </c>
      <c r="H542" s="572"/>
      <c r="I542" s="573"/>
      <c r="J542" s="12"/>
      <c r="K542" s="12">
        <v>800</v>
      </c>
      <c r="L542" s="63">
        <f t="shared" si="26"/>
        <v>64287.820000000007</v>
      </c>
      <c r="M542" s="25"/>
    </row>
    <row r="543" spans="2:13" ht="32.25" customHeight="1" x14ac:dyDescent="0.2">
      <c r="B543" s="64">
        <v>43692</v>
      </c>
      <c r="C543" s="77" t="s">
        <v>641</v>
      </c>
      <c r="D543" s="78"/>
      <c r="E543" s="3"/>
      <c r="F543" s="16"/>
      <c r="G543" s="571" t="s">
        <v>642</v>
      </c>
      <c r="H543" s="572"/>
      <c r="I543" s="573"/>
      <c r="J543" s="12"/>
      <c r="K543" s="61">
        <v>300</v>
      </c>
      <c r="L543" s="63">
        <f t="shared" si="26"/>
        <v>63987.820000000007</v>
      </c>
      <c r="M543" s="25"/>
    </row>
    <row r="544" spans="2:13" ht="36" customHeight="1" x14ac:dyDescent="0.2">
      <c r="B544" s="64">
        <v>43693</v>
      </c>
      <c r="C544" s="77"/>
      <c r="D544" s="78"/>
      <c r="E544" s="3"/>
      <c r="F544" s="16"/>
      <c r="G544" s="571" t="s">
        <v>643</v>
      </c>
      <c r="H544" s="572"/>
      <c r="I544" s="573"/>
      <c r="J544" s="12"/>
      <c r="K544" s="61"/>
      <c r="L544" s="63">
        <f t="shared" si="26"/>
        <v>63987.820000000007</v>
      </c>
      <c r="M544" s="25"/>
    </row>
    <row r="545" spans="2:13" ht="12.75" customHeight="1" x14ac:dyDescent="0.2">
      <c r="B545" s="64"/>
      <c r="C545" s="77"/>
      <c r="D545" s="78"/>
      <c r="E545" s="3"/>
      <c r="F545" s="16"/>
      <c r="G545" s="112"/>
      <c r="H545" s="583" t="s">
        <v>577</v>
      </c>
      <c r="I545" s="584"/>
      <c r="J545" s="12"/>
      <c r="K545" s="61">
        <v>1700</v>
      </c>
      <c r="L545" s="63">
        <f t="shared" si="26"/>
        <v>62287.820000000007</v>
      </c>
      <c r="M545" s="25"/>
    </row>
    <row r="546" spans="2:13" ht="12.75" customHeight="1" x14ac:dyDescent="0.2">
      <c r="B546" s="64"/>
      <c r="C546" s="77"/>
      <c r="D546" s="78"/>
      <c r="E546" s="3"/>
      <c r="F546" s="16"/>
      <c r="G546" s="112"/>
      <c r="H546" s="583" t="s">
        <v>619</v>
      </c>
      <c r="I546" s="584"/>
      <c r="J546" s="12"/>
      <c r="K546" s="61">
        <v>950</v>
      </c>
      <c r="L546" s="63">
        <f t="shared" si="26"/>
        <v>61337.820000000007</v>
      </c>
      <c r="M546" s="25"/>
    </row>
    <row r="547" spans="2:13" x14ac:dyDescent="0.2">
      <c r="B547" s="64"/>
      <c r="C547" s="77"/>
      <c r="D547" s="78"/>
      <c r="E547" s="3"/>
      <c r="F547" s="16"/>
      <c r="G547" s="583"/>
      <c r="H547" s="584"/>
      <c r="I547" s="403" t="s">
        <v>644</v>
      </c>
      <c r="J547" s="12"/>
      <c r="K547" s="12">
        <v>850</v>
      </c>
      <c r="L547" s="63">
        <f t="shared" si="26"/>
        <v>60487.820000000007</v>
      </c>
      <c r="M547" s="25"/>
    </row>
    <row r="548" spans="2:13" ht="48.75" customHeight="1" x14ac:dyDescent="0.2">
      <c r="B548" s="64">
        <v>43703</v>
      </c>
      <c r="C548" s="77" t="s">
        <v>645</v>
      </c>
      <c r="D548" s="78"/>
      <c r="E548" s="3"/>
      <c r="F548" s="16"/>
      <c r="G548" s="571" t="s">
        <v>646</v>
      </c>
      <c r="H548" s="572"/>
      <c r="I548" s="573"/>
      <c r="J548" s="12"/>
      <c r="K548" s="12">
        <f>1040*3</f>
        <v>3120</v>
      </c>
      <c r="L548" s="63">
        <f t="shared" si="26"/>
        <v>57367.820000000007</v>
      </c>
      <c r="M548" s="25"/>
    </row>
    <row r="549" spans="2:13" x14ac:dyDescent="0.2">
      <c r="B549" s="64">
        <v>43705</v>
      </c>
      <c r="C549" s="77" t="s">
        <v>649</v>
      </c>
      <c r="D549" s="78"/>
      <c r="E549" s="3"/>
      <c r="F549" s="16"/>
      <c r="G549" s="571" t="s">
        <v>650</v>
      </c>
      <c r="H549" s="572"/>
      <c r="I549" s="573"/>
      <c r="J549" s="12"/>
      <c r="K549" s="12"/>
      <c r="L549" s="63">
        <f t="shared" si="26"/>
        <v>57367.820000000007</v>
      </c>
      <c r="M549" s="25"/>
    </row>
    <row r="550" spans="2:13" x14ac:dyDescent="0.2">
      <c r="B550" s="64"/>
      <c r="C550" s="77"/>
      <c r="D550" s="78"/>
      <c r="E550" s="3"/>
      <c r="F550" s="16"/>
      <c r="G550" s="403"/>
      <c r="H550" s="373"/>
      <c r="I550" s="373" t="s">
        <v>243</v>
      </c>
      <c r="J550" s="12"/>
      <c r="K550" s="12">
        <v>397.05</v>
      </c>
      <c r="L550" s="63">
        <f t="shared" si="26"/>
        <v>56970.770000000004</v>
      </c>
      <c r="M550" s="25"/>
    </row>
    <row r="551" spans="2:13" x14ac:dyDescent="0.2">
      <c r="B551" s="64"/>
      <c r="C551" s="77"/>
      <c r="D551" s="78"/>
      <c r="E551" s="3"/>
      <c r="F551" s="16"/>
      <c r="G551" s="403"/>
      <c r="H551" s="373"/>
      <c r="I551" s="373" t="s">
        <v>651</v>
      </c>
      <c r="J551" s="12"/>
      <c r="K551" s="12">
        <v>529.4</v>
      </c>
      <c r="L551" s="63">
        <f t="shared" si="26"/>
        <v>56441.37</v>
      </c>
      <c r="M551" s="25"/>
    </row>
    <row r="552" spans="2:13" x14ac:dyDescent="0.2">
      <c r="B552" s="64"/>
      <c r="C552" s="349"/>
      <c r="D552" s="349"/>
      <c r="E552" s="3"/>
      <c r="F552" s="16"/>
      <c r="G552" s="571" t="s">
        <v>64</v>
      </c>
      <c r="H552" s="572"/>
      <c r="I552" s="573"/>
      <c r="J552" s="349"/>
      <c r="K552" s="70">
        <v>198.53</v>
      </c>
      <c r="L552" s="63">
        <f t="shared" si="26"/>
        <v>56242.840000000004</v>
      </c>
      <c r="M552" s="25"/>
    </row>
    <row r="553" spans="2:13" x14ac:dyDescent="0.2">
      <c r="B553" s="10"/>
      <c r="C553" s="77"/>
      <c r="D553" s="77"/>
      <c r="E553" s="3"/>
      <c r="F553" s="16"/>
      <c r="G553" s="81"/>
      <c r="H553" s="568" t="s">
        <v>652</v>
      </c>
      <c r="I553" s="570"/>
      <c r="J553" s="349"/>
      <c r="K553" s="70">
        <v>198.53</v>
      </c>
      <c r="L553" s="63">
        <f t="shared" si="26"/>
        <v>56044.310000000005</v>
      </c>
      <c r="M553" s="25"/>
    </row>
    <row r="554" spans="2:13" ht="32.25" customHeight="1" x14ac:dyDescent="0.2">
      <c r="B554" s="10"/>
      <c r="C554" s="77"/>
      <c r="D554" s="77"/>
      <c r="E554" s="3"/>
      <c r="F554" s="16"/>
      <c r="G554" s="571"/>
      <c r="H554" s="572"/>
      <c r="I554" s="573"/>
      <c r="J554" s="349"/>
      <c r="K554" s="70"/>
      <c r="L554" s="63">
        <f t="shared" si="26"/>
        <v>56044.310000000005</v>
      </c>
      <c r="M554" s="25"/>
    </row>
    <row r="555" spans="2:13" x14ac:dyDescent="0.2">
      <c r="B555" s="10"/>
      <c r="C555" s="77"/>
      <c r="D555" s="77"/>
      <c r="E555" s="3"/>
      <c r="F555" s="16"/>
      <c r="G555" s="375"/>
      <c r="H555" s="376"/>
      <c r="I555" s="399"/>
      <c r="J555" s="349"/>
      <c r="K555" s="70"/>
      <c r="L555" s="63">
        <f t="shared" si="26"/>
        <v>56044.310000000005</v>
      </c>
      <c r="M555" s="25"/>
    </row>
    <row r="556" spans="2:13" x14ac:dyDescent="0.2">
      <c r="B556" s="10"/>
      <c r="C556" s="77"/>
      <c r="D556" s="77"/>
      <c r="E556" s="3"/>
      <c r="F556" s="16"/>
      <c r="G556" s="375"/>
      <c r="H556" s="376"/>
      <c r="I556" s="399"/>
      <c r="J556" s="349"/>
      <c r="K556" s="70"/>
      <c r="L556" s="63">
        <f t="shared" si="26"/>
        <v>56044.310000000005</v>
      </c>
      <c r="M556" s="25"/>
    </row>
    <row r="557" spans="2:13" x14ac:dyDescent="0.2">
      <c r="B557" s="10"/>
      <c r="C557" s="77"/>
      <c r="D557" s="77"/>
      <c r="E557" s="3"/>
      <c r="F557" s="16"/>
      <c r="G557" s="375"/>
      <c r="H557" s="376"/>
      <c r="I557" s="399"/>
      <c r="J557" s="349"/>
      <c r="K557" s="70"/>
      <c r="L557" s="63"/>
      <c r="M557" s="25"/>
    </row>
    <row r="558" spans="2:13" ht="12.75" thickBot="1" x14ac:dyDescent="0.25">
      <c r="B558" s="64"/>
      <c r="C558" s="65"/>
      <c r="D558" s="65"/>
      <c r="E558" s="13"/>
      <c r="F558" s="13"/>
      <c r="G558" s="104"/>
      <c r="H558" s="84"/>
      <c r="I558" s="12"/>
      <c r="J558" s="12"/>
      <c r="K558" s="12"/>
      <c r="L558" s="63"/>
      <c r="M558" s="25"/>
    </row>
    <row r="559" spans="2:13" x14ac:dyDescent="0.2">
      <c r="B559" s="56"/>
      <c r="C559" s="57"/>
      <c r="D559" s="57"/>
      <c r="E559" s="5"/>
      <c r="F559" s="5"/>
      <c r="G559" s="85" t="s">
        <v>26</v>
      </c>
      <c r="H559" s="107">
        <f>SUM(H491:H529)</f>
        <v>28860</v>
      </c>
      <c r="I559" s="105">
        <f>SUM(I491:I529)</f>
        <v>9235.1999999999971</v>
      </c>
      <c r="J559" s="106">
        <f>SUM(J491:J529)</f>
        <v>19624.799999999992</v>
      </c>
      <c r="K559" s="106">
        <f>SUM(K534:K554)</f>
        <v>12583.51</v>
      </c>
      <c r="L559" s="108"/>
      <c r="M559" s="25"/>
    </row>
    <row r="560" spans="2:13" ht="12.75" thickBot="1" x14ac:dyDescent="0.25">
      <c r="B560" s="71"/>
      <c r="C560" s="72"/>
      <c r="D560" s="72"/>
      <c r="E560" s="73"/>
      <c r="F560" s="73"/>
      <c r="G560" s="86" t="s">
        <v>13</v>
      </c>
      <c r="H560" s="100"/>
      <c r="I560" s="99"/>
      <c r="J560" s="87"/>
      <c r="K560" s="87"/>
      <c r="L560" s="88">
        <f>+J559-K559+L490</f>
        <v>56044.310000000005</v>
      </c>
      <c r="M560" s="25"/>
    </row>
    <row r="561" spans="2:13" x14ac:dyDescent="0.2">
      <c r="B561" s="25"/>
      <c r="H561" s="74"/>
      <c r="I561" s="25"/>
      <c r="L561" s="25"/>
      <c r="M561" s="25"/>
    </row>
    <row r="562" spans="2:13" x14ac:dyDescent="0.2">
      <c r="B562" s="544" t="s">
        <v>48</v>
      </c>
      <c r="C562" s="545"/>
      <c r="D562" s="545"/>
      <c r="E562" s="545"/>
      <c r="F562" s="545"/>
      <c r="G562" s="545"/>
      <c r="H562" s="545"/>
      <c r="I562" s="545"/>
      <c r="J562" s="545"/>
      <c r="K562" s="545"/>
      <c r="L562" s="546"/>
      <c r="M562" s="25"/>
    </row>
    <row r="563" spans="2:13" x14ac:dyDescent="0.2">
      <c r="B563" s="547" t="s">
        <v>625</v>
      </c>
      <c r="C563" s="548"/>
      <c r="D563" s="548"/>
      <c r="E563" s="548"/>
      <c r="F563" s="548"/>
      <c r="G563" s="548"/>
      <c r="H563" s="548"/>
      <c r="I563" s="548"/>
      <c r="J563" s="548"/>
      <c r="K563" s="548"/>
      <c r="L563" s="549"/>
      <c r="M563" s="25"/>
    </row>
    <row r="564" spans="2:13" x14ac:dyDescent="0.2">
      <c r="B564" s="550" t="s">
        <v>50</v>
      </c>
      <c r="C564" s="550"/>
      <c r="D564" s="551" t="s">
        <v>51</v>
      </c>
      <c r="E564" s="551"/>
      <c r="F564" s="551"/>
      <c r="G564" s="400"/>
      <c r="H564" s="400"/>
      <c r="I564" s="400"/>
      <c r="J564" s="400"/>
      <c r="K564" s="400"/>
      <c r="L564" s="401"/>
      <c r="M564" s="25"/>
    </row>
    <row r="565" spans="2:13" ht="24" x14ac:dyDescent="0.2">
      <c r="B565" s="56" t="s">
        <v>1</v>
      </c>
      <c r="C565" s="57" t="s">
        <v>2</v>
      </c>
      <c r="D565" s="57" t="s">
        <v>2</v>
      </c>
      <c r="E565" s="5" t="s">
        <v>3</v>
      </c>
      <c r="F565" s="5" t="s">
        <v>4</v>
      </c>
      <c r="G565" s="89" t="s">
        <v>6</v>
      </c>
      <c r="H565" s="83" t="s">
        <v>7</v>
      </c>
      <c r="I565" s="83" t="s">
        <v>52</v>
      </c>
      <c r="J565" s="83" t="s">
        <v>53</v>
      </c>
      <c r="K565" s="5" t="s">
        <v>10</v>
      </c>
      <c r="L565" s="5" t="s">
        <v>11</v>
      </c>
      <c r="M565" s="25"/>
    </row>
    <row r="566" spans="2:13" x14ac:dyDescent="0.2">
      <c r="B566" s="58"/>
      <c r="C566" s="59"/>
      <c r="D566" s="59"/>
      <c r="E566" s="13"/>
      <c r="F566" s="13"/>
      <c r="G566" s="24"/>
      <c r="H566" s="60"/>
      <c r="I566" s="61"/>
      <c r="J566" s="61"/>
      <c r="K566" s="61"/>
      <c r="L566" s="60">
        <f>L560</f>
        <v>56044.310000000005</v>
      </c>
      <c r="M566" s="25"/>
    </row>
    <row r="567" spans="2:13" x14ac:dyDescent="0.2">
      <c r="B567" s="110">
        <v>43710</v>
      </c>
      <c r="C567" s="353" t="s">
        <v>667</v>
      </c>
      <c r="D567" s="11"/>
      <c r="E567" s="15"/>
      <c r="F567" s="15"/>
      <c r="G567" s="15" t="s">
        <v>365</v>
      </c>
      <c r="H567" s="112">
        <v>472</v>
      </c>
      <c r="I567" s="12">
        <f>H567*0.32</f>
        <v>151.04</v>
      </c>
      <c r="J567" s="12">
        <f>H567*0.68</f>
        <v>320.96000000000004</v>
      </c>
      <c r="K567" s="12"/>
      <c r="L567" s="63">
        <f>+J567-K567+L566</f>
        <v>56365.270000000004</v>
      </c>
      <c r="M567" s="25"/>
    </row>
    <row r="568" spans="2:13" x14ac:dyDescent="0.2">
      <c r="B568" s="110">
        <v>43711</v>
      </c>
      <c r="C568" s="353" t="s">
        <v>667</v>
      </c>
      <c r="D568" s="11"/>
      <c r="E568" s="15"/>
      <c r="F568" s="15"/>
      <c r="G568" s="15" t="s">
        <v>365</v>
      </c>
      <c r="H568" s="112">
        <v>778</v>
      </c>
      <c r="I568" s="12">
        <f t="shared" ref="I568:I611" si="27">H568*0.32</f>
        <v>248.96</v>
      </c>
      <c r="J568" s="12">
        <f t="shared" ref="J568:J611" si="28">H568*0.68</f>
        <v>529.04000000000008</v>
      </c>
      <c r="K568" s="12"/>
      <c r="L568" s="63">
        <f t="shared" ref="L568:L577" si="29">+J568-K568+L567</f>
        <v>56894.310000000005</v>
      </c>
      <c r="M568" s="25"/>
    </row>
    <row r="569" spans="2:13" x14ac:dyDescent="0.2">
      <c r="B569" s="110">
        <v>43712</v>
      </c>
      <c r="C569" s="353" t="s">
        <v>667</v>
      </c>
      <c r="D569" s="11"/>
      <c r="E569" s="15"/>
      <c r="F569" s="15"/>
      <c r="G569" s="15" t="s">
        <v>365</v>
      </c>
      <c r="H569" s="112">
        <v>702</v>
      </c>
      <c r="I569" s="12">
        <f t="shared" si="27"/>
        <v>224.64000000000001</v>
      </c>
      <c r="J569" s="12">
        <f t="shared" si="28"/>
        <v>477.36</v>
      </c>
      <c r="K569" s="12"/>
      <c r="L569" s="63">
        <f t="shared" si="29"/>
        <v>57371.670000000006</v>
      </c>
      <c r="M569" s="25"/>
    </row>
    <row r="570" spans="2:13" x14ac:dyDescent="0.2">
      <c r="B570" s="110">
        <v>43713</v>
      </c>
      <c r="C570" s="353" t="s">
        <v>667</v>
      </c>
      <c r="D570" s="11"/>
      <c r="E570" s="15"/>
      <c r="F570" s="15"/>
      <c r="G570" s="15" t="s">
        <v>365</v>
      </c>
      <c r="H570" s="112">
        <f>1258-314</f>
        <v>944</v>
      </c>
      <c r="I570" s="12">
        <f t="shared" si="27"/>
        <v>302.08</v>
      </c>
      <c r="J570" s="12">
        <f t="shared" si="28"/>
        <v>641.92000000000007</v>
      </c>
      <c r="K570" s="12"/>
      <c r="L570" s="63">
        <f t="shared" si="29"/>
        <v>58013.590000000004</v>
      </c>
      <c r="M570" s="25"/>
    </row>
    <row r="571" spans="2:13" x14ac:dyDescent="0.2">
      <c r="B571" s="110">
        <v>43714</v>
      </c>
      <c r="C571" s="353" t="s">
        <v>667</v>
      </c>
      <c r="D571" s="11"/>
      <c r="E571" s="15"/>
      <c r="F571" s="15"/>
      <c r="G571" s="15" t="s">
        <v>365</v>
      </c>
      <c r="H571" s="112">
        <v>1707</v>
      </c>
      <c r="I571" s="12">
        <f t="shared" si="27"/>
        <v>546.24</v>
      </c>
      <c r="J571" s="12">
        <f t="shared" si="28"/>
        <v>1160.76</v>
      </c>
      <c r="K571" s="12"/>
      <c r="L571" s="63">
        <f t="shared" si="29"/>
        <v>59174.350000000006</v>
      </c>
      <c r="M571" s="25"/>
    </row>
    <row r="572" spans="2:13" x14ac:dyDescent="0.2">
      <c r="B572" s="110">
        <v>43715</v>
      </c>
      <c r="C572" s="353" t="s">
        <v>667</v>
      </c>
      <c r="D572" s="11"/>
      <c r="E572" s="15"/>
      <c r="F572" s="15"/>
      <c r="G572" s="15" t="s">
        <v>365</v>
      </c>
      <c r="H572" s="112">
        <v>452</v>
      </c>
      <c r="I572" s="12">
        <f t="shared" si="27"/>
        <v>144.64000000000001</v>
      </c>
      <c r="J572" s="12">
        <f t="shared" si="28"/>
        <v>307.36</v>
      </c>
      <c r="K572" s="12"/>
      <c r="L572" s="63">
        <f t="shared" si="29"/>
        <v>59481.710000000006</v>
      </c>
      <c r="M572" s="25"/>
    </row>
    <row r="573" spans="2:13" x14ac:dyDescent="0.2">
      <c r="B573" s="110">
        <v>43717</v>
      </c>
      <c r="C573" s="353" t="s">
        <v>667</v>
      </c>
      <c r="D573" s="11"/>
      <c r="E573" s="15"/>
      <c r="F573" s="15"/>
      <c r="G573" s="15" t="s">
        <v>365</v>
      </c>
      <c r="H573" s="112">
        <f>1804-120</f>
        <v>1684</v>
      </c>
      <c r="I573" s="12">
        <f t="shared" si="27"/>
        <v>538.88</v>
      </c>
      <c r="J573" s="12">
        <f t="shared" si="28"/>
        <v>1145.1200000000001</v>
      </c>
      <c r="K573" s="12"/>
      <c r="L573" s="63">
        <f t="shared" si="29"/>
        <v>60626.830000000009</v>
      </c>
      <c r="M573" s="25"/>
    </row>
    <row r="574" spans="2:13" x14ac:dyDescent="0.2">
      <c r="B574" s="110">
        <v>43718</v>
      </c>
      <c r="C574" s="353" t="s">
        <v>667</v>
      </c>
      <c r="D574" s="77"/>
      <c r="E574" s="15"/>
      <c r="F574" s="15"/>
      <c r="G574" s="15" t="s">
        <v>365</v>
      </c>
      <c r="H574" s="112">
        <v>1113</v>
      </c>
      <c r="I574" s="12">
        <f t="shared" si="27"/>
        <v>356.16</v>
      </c>
      <c r="J574" s="12">
        <f t="shared" si="28"/>
        <v>756.84</v>
      </c>
      <c r="K574" s="12"/>
      <c r="L574" s="63">
        <f t="shared" si="29"/>
        <v>61383.670000000006</v>
      </c>
      <c r="M574" s="25"/>
    </row>
    <row r="575" spans="2:13" x14ac:dyDescent="0.2">
      <c r="B575" s="110">
        <v>43719</v>
      </c>
      <c r="C575" s="353" t="s">
        <v>667</v>
      </c>
      <c r="D575" s="11"/>
      <c r="E575" s="15"/>
      <c r="F575" s="15"/>
      <c r="G575" s="15" t="s">
        <v>365</v>
      </c>
      <c r="H575" s="112">
        <f>945-165</f>
        <v>780</v>
      </c>
      <c r="I575" s="12">
        <f t="shared" si="27"/>
        <v>249.6</v>
      </c>
      <c r="J575" s="12">
        <f t="shared" si="28"/>
        <v>530.40000000000009</v>
      </c>
      <c r="K575" s="12"/>
      <c r="L575" s="63">
        <f t="shared" si="29"/>
        <v>61914.070000000007</v>
      </c>
      <c r="M575" s="25"/>
    </row>
    <row r="576" spans="2:13" x14ac:dyDescent="0.2">
      <c r="B576" s="110">
        <v>43720</v>
      </c>
      <c r="C576" s="353" t="s">
        <v>667</v>
      </c>
      <c r="D576" s="11"/>
      <c r="E576" s="15"/>
      <c r="F576" s="15"/>
      <c r="G576" s="15" t="s">
        <v>365</v>
      </c>
      <c r="H576" s="112">
        <v>964</v>
      </c>
      <c r="I576" s="12">
        <f t="shared" si="27"/>
        <v>308.48</v>
      </c>
      <c r="J576" s="12">
        <f t="shared" si="28"/>
        <v>655.5200000000001</v>
      </c>
      <c r="K576" s="12"/>
      <c r="L576" s="63">
        <f t="shared" si="29"/>
        <v>62569.590000000004</v>
      </c>
      <c r="M576" s="25"/>
    </row>
    <row r="577" spans="2:13" x14ac:dyDescent="0.2">
      <c r="B577" s="110">
        <v>43721</v>
      </c>
      <c r="C577" s="353" t="s">
        <v>667</v>
      </c>
      <c r="D577" s="11"/>
      <c r="E577" s="15"/>
      <c r="F577" s="15"/>
      <c r="G577" s="15" t="s">
        <v>365</v>
      </c>
      <c r="H577" s="112">
        <f>2724-164</f>
        <v>2560</v>
      </c>
      <c r="I577" s="12">
        <f t="shared" si="27"/>
        <v>819.2</v>
      </c>
      <c r="J577" s="12">
        <f t="shared" si="28"/>
        <v>1740.8000000000002</v>
      </c>
      <c r="K577" s="12"/>
      <c r="L577" s="63">
        <f t="shared" si="29"/>
        <v>64310.390000000007</v>
      </c>
      <c r="M577" s="25"/>
    </row>
    <row r="578" spans="2:13" x14ac:dyDescent="0.2">
      <c r="B578" s="110">
        <v>43724</v>
      </c>
      <c r="C578" s="353" t="s">
        <v>667</v>
      </c>
      <c r="D578" s="65"/>
      <c r="E578" s="13"/>
      <c r="F578" s="15"/>
      <c r="G578" s="15" t="s">
        <v>365</v>
      </c>
      <c r="H578" s="112">
        <v>2128</v>
      </c>
      <c r="I578" s="12">
        <f t="shared" si="27"/>
        <v>680.96</v>
      </c>
      <c r="J578" s="12">
        <f t="shared" si="28"/>
        <v>1447.0400000000002</v>
      </c>
      <c r="K578" s="12"/>
      <c r="L578" s="63">
        <f>+J578-K578+L577</f>
        <v>65757.430000000008</v>
      </c>
      <c r="M578" s="25"/>
    </row>
    <row r="579" spans="2:13" x14ac:dyDescent="0.2">
      <c r="B579" s="110">
        <v>43725</v>
      </c>
      <c r="C579" s="353" t="s">
        <v>667</v>
      </c>
      <c r="D579" s="65"/>
      <c r="E579" s="13"/>
      <c r="F579" s="15"/>
      <c r="G579" s="15" t="s">
        <v>365</v>
      </c>
      <c r="H579" s="112">
        <v>800</v>
      </c>
      <c r="I579" s="12">
        <f t="shared" si="27"/>
        <v>256</v>
      </c>
      <c r="J579" s="12">
        <f t="shared" si="28"/>
        <v>544</v>
      </c>
      <c r="K579" s="12"/>
      <c r="L579" s="63">
        <f t="shared" ref="L579:L626" si="30">+J579-K579+L578</f>
        <v>66301.430000000008</v>
      </c>
      <c r="M579" s="25"/>
    </row>
    <row r="580" spans="2:13" x14ac:dyDescent="0.2">
      <c r="B580" s="110">
        <v>43726</v>
      </c>
      <c r="C580" s="353" t="s">
        <v>667</v>
      </c>
      <c r="D580" s="65"/>
      <c r="E580" s="13"/>
      <c r="F580" s="15"/>
      <c r="G580" s="15" t="s">
        <v>365</v>
      </c>
      <c r="H580" s="112">
        <f>837-509</f>
        <v>328</v>
      </c>
      <c r="I580" s="12">
        <f t="shared" si="27"/>
        <v>104.96000000000001</v>
      </c>
      <c r="J580" s="12">
        <f t="shared" si="28"/>
        <v>223.04000000000002</v>
      </c>
      <c r="K580" s="12"/>
      <c r="L580" s="63">
        <f t="shared" si="30"/>
        <v>66524.47</v>
      </c>
      <c r="M580" s="25"/>
    </row>
    <row r="581" spans="2:13" x14ac:dyDescent="0.2">
      <c r="B581" s="110">
        <v>43727</v>
      </c>
      <c r="C581" s="353" t="s">
        <v>667</v>
      </c>
      <c r="D581" s="65"/>
      <c r="E581" s="13"/>
      <c r="F581" s="15"/>
      <c r="G581" s="15" t="s">
        <v>365</v>
      </c>
      <c r="H581" s="112">
        <f>880-120</f>
        <v>760</v>
      </c>
      <c r="I581" s="12">
        <f t="shared" si="27"/>
        <v>243.20000000000002</v>
      </c>
      <c r="J581" s="12">
        <f t="shared" si="28"/>
        <v>516.80000000000007</v>
      </c>
      <c r="K581" s="12"/>
      <c r="L581" s="63">
        <f t="shared" si="30"/>
        <v>67041.27</v>
      </c>
      <c r="M581" s="25"/>
    </row>
    <row r="582" spans="2:13" x14ac:dyDescent="0.2">
      <c r="B582" s="110">
        <v>43727</v>
      </c>
      <c r="C582" s="384" t="s">
        <v>676</v>
      </c>
      <c r="D582" s="65"/>
      <c r="E582" s="13"/>
      <c r="F582" s="15"/>
      <c r="G582" s="15" t="s">
        <v>677</v>
      </c>
      <c r="H582" s="112">
        <v>4275</v>
      </c>
      <c r="I582" s="12">
        <f t="shared" si="27"/>
        <v>1368</v>
      </c>
      <c r="J582" s="12">
        <f t="shared" si="28"/>
        <v>2907</v>
      </c>
      <c r="K582" s="12"/>
      <c r="L582" s="63">
        <f t="shared" si="30"/>
        <v>69948.27</v>
      </c>
      <c r="M582" s="25"/>
    </row>
    <row r="583" spans="2:13" x14ac:dyDescent="0.2">
      <c r="B583" s="110">
        <v>43728</v>
      </c>
      <c r="C583" s="353" t="s">
        <v>667</v>
      </c>
      <c r="D583" s="65"/>
      <c r="E583" s="13"/>
      <c r="F583" s="15"/>
      <c r="G583" s="15" t="s">
        <v>365</v>
      </c>
      <c r="H583" s="112">
        <v>650</v>
      </c>
      <c r="I583" s="12">
        <f t="shared" si="27"/>
        <v>208</v>
      </c>
      <c r="J583" s="12">
        <f t="shared" si="28"/>
        <v>442.00000000000006</v>
      </c>
      <c r="K583" s="12"/>
      <c r="L583" s="63">
        <f t="shared" si="30"/>
        <v>70390.27</v>
      </c>
      <c r="M583" s="25"/>
    </row>
    <row r="584" spans="2:13" x14ac:dyDescent="0.2">
      <c r="B584" s="110">
        <v>43731</v>
      </c>
      <c r="C584" s="353" t="s">
        <v>667</v>
      </c>
      <c r="D584" s="65"/>
      <c r="E584" s="13"/>
      <c r="F584" s="15"/>
      <c r="G584" s="15" t="s">
        <v>365</v>
      </c>
      <c r="H584" s="112">
        <v>472</v>
      </c>
      <c r="I584" s="12">
        <f t="shared" si="27"/>
        <v>151.04</v>
      </c>
      <c r="J584" s="12">
        <f t="shared" si="28"/>
        <v>320.96000000000004</v>
      </c>
      <c r="K584" s="12"/>
      <c r="L584" s="63">
        <f t="shared" si="30"/>
        <v>70711.23000000001</v>
      </c>
      <c r="M584" s="25"/>
    </row>
    <row r="585" spans="2:13" x14ac:dyDescent="0.2">
      <c r="B585" s="110">
        <v>43732</v>
      </c>
      <c r="C585" s="353" t="s">
        <v>667</v>
      </c>
      <c r="D585" s="65"/>
      <c r="E585" s="13"/>
      <c r="F585" s="15"/>
      <c r="G585" s="15" t="s">
        <v>365</v>
      </c>
      <c r="H585" s="112">
        <v>790</v>
      </c>
      <c r="I585" s="12">
        <f t="shared" si="27"/>
        <v>252.8</v>
      </c>
      <c r="J585" s="12">
        <f t="shared" si="28"/>
        <v>537.20000000000005</v>
      </c>
      <c r="K585" s="12"/>
      <c r="L585" s="63">
        <f t="shared" si="30"/>
        <v>71248.430000000008</v>
      </c>
      <c r="M585" s="25"/>
    </row>
    <row r="586" spans="2:13" x14ac:dyDescent="0.2">
      <c r="B586" s="110">
        <v>43734</v>
      </c>
      <c r="C586" s="353" t="s">
        <v>668</v>
      </c>
      <c r="D586" s="65"/>
      <c r="E586" s="13"/>
      <c r="F586" s="15"/>
      <c r="G586" s="15" t="s">
        <v>367</v>
      </c>
      <c r="H586" s="112">
        <f>860-100</f>
        <v>760</v>
      </c>
      <c r="I586" s="12">
        <f t="shared" si="27"/>
        <v>243.20000000000002</v>
      </c>
      <c r="J586" s="12">
        <f t="shared" si="28"/>
        <v>516.80000000000007</v>
      </c>
      <c r="K586" s="12"/>
      <c r="L586" s="63">
        <f t="shared" si="30"/>
        <v>71765.23000000001</v>
      </c>
      <c r="M586" s="25"/>
    </row>
    <row r="587" spans="2:13" x14ac:dyDescent="0.2">
      <c r="B587" s="110">
        <v>43738</v>
      </c>
      <c r="C587" s="353" t="s">
        <v>668</v>
      </c>
      <c r="D587" s="65"/>
      <c r="E587" s="13"/>
      <c r="F587" s="15"/>
      <c r="G587" s="15" t="s">
        <v>367</v>
      </c>
      <c r="H587" s="112">
        <f>1088-308</f>
        <v>780</v>
      </c>
      <c r="I587" s="12">
        <f t="shared" si="27"/>
        <v>249.6</v>
      </c>
      <c r="J587" s="12">
        <f t="shared" si="28"/>
        <v>530.40000000000009</v>
      </c>
      <c r="K587" s="12"/>
      <c r="L587" s="63">
        <f t="shared" si="30"/>
        <v>72295.63</v>
      </c>
      <c r="M587" s="25"/>
    </row>
    <row r="588" spans="2:13" x14ac:dyDescent="0.2">
      <c r="B588" s="110">
        <v>43710</v>
      </c>
      <c r="C588" s="353"/>
      <c r="D588" s="65"/>
      <c r="E588" s="13"/>
      <c r="F588" s="15"/>
      <c r="G588" s="15"/>
      <c r="H588" s="112">
        <v>626</v>
      </c>
      <c r="I588" s="12">
        <f t="shared" si="27"/>
        <v>200.32</v>
      </c>
      <c r="J588" s="12">
        <f t="shared" si="28"/>
        <v>425.68</v>
      </c>
      <c r="K588" s="12"/>
      <c r="L588" s="63">
        <f t="shared" si="30"/>
        <v>72721.31</v>
      </c>
      <c r="M588" s="25"/>
    </row>
    <row r="589" spans="2:13" x14ac:dyDescent="0.2">
      <c r="B589" s="110">
        <v>43711</v>
      </c>
      <c r="C589" s="353"/>
      <c r="D589" s="65"/>
      <c r="E589" s="13"/>
      <c r="F589" s="15"/>
      <c r="G589" s="15"/>
      <c r="H589" s="112">
        <v>780</v>
      </c>
      <c r="I589" s="12">
        <f t="shared" si="27"/>
        <v>249.6</v>
      </c>
      <c r="J589" s="12">
        <f t="shared" si="28"/>
        <v>530.40000000000009</v>
      </c>
      <c r="K589" s="12"/>
      <c r="L589" s="63">
        <f t="shared" si="30"/>
        <v>73251.709999999992</v>
      </c>
      <c r="M589" s="25"/>
    </row>
    <row r="590" spans="2:13" x14ac:dyDescent="0.2">
      <c r="B590" s="110">
        <v>43712</v>
      </c>
      <c r="C590" s="353"/>
      <c r="D590" s="65"/>
      <c r="E590" s="13"/>
      <c r="F590" s="15"/>
      <c r="G590" s="15"/>
      <c r="H590" s="112">
        <v>452</v>
      </c>
      <c r="I590" s="12">
        <f t="shared" si="27"/>
        <v>144.64000000000001</v>
      </c>
      <c r="J590" s="12">
        <f t="shared" si="28"/>
        <v>307.36</v>
      </c>
      <c r="K590" s="12"/>
      <c r="L590" s="63">
        <f t="shared" si="30"/>
        <v>73559.069999999992</v>
      </c>
      <c r="M590" s="25"/>
    </row>
    <row r="591" spans="2:13" x14ac:dyDescent="0.2">
      <c r="B591" s="110">
        <v>43713</v>
      </c>
      <c r="C591" s="353"/>
      <c r="D591" s="65"/>
      <c r="E591" s="13"/>
      <c r="F591" s="15"/>
      <c r="G591" s="15"/>
      <c r="H591" s="112">
        <v>308</v>
      </c>
      <c r="I591" s="12">
        <f t="shared" si="27"/>
        <v>98.56</v>
      </c>
      <c r="J591" s="12">
        <f t="shared" si="28"/>
        <v>209.44000000000003</v>
      </c>
      <c r="K591" s="12"/>
      <c r="L591" s="63">
        <f t="shared" si="30"/>
        <v>73768.509999999995</v>
      </c>
      <c r="M591" s="25"/>
    </row>
    <row r="592" spans="2:13" x14ac:dyDescent="0.2">
      <c r="B592" s="110">
        <v>43714</v>
      </c>
      <c r="C592" s="353"/>
      <c r="D592" s="65"/>
      <c r="E592" s="13"/>
      <c r="F592" s="15"/>
      <c r="G592" s="15"/>
      <c r="H592" s="112">
        <v>1024</v>
      </c>
      <c r="I592" s="12">
        <f t="shared" si="27"/>
        <v>327.68</v>
      </c>
      <c r="J592" s="12">
        <f t="shared" si="28"/>
        <v>696.32</v>
      </c>
      <c r="K592" s="12"/>
      <c r="L592" s="63">
        <f t="shared" si="30"/>
        <v>74464.83</v>
      </c>
      <c r="M592" s="25"/>
    </row>
    <row r="593" spans="2:13" x14ac:dyDescent="0.2">
      <c r="B593" s="110">
        <v>43717</v>
      </c>
      <c r="C593" s="353"/>
      <c r="D593" s="65"/>
      <c r="E593" s="13"/>
      <c r="F593" s="15"/>
      <c r="G593" s="15"/>
      <c r="H593" s="112">
        <v>616</v>
      </c>
      <c r="I593" s="12">
        <f t="shared" si="27"/>
        <v>197.12</v>
      </c>
      <c r="J593" s="12">
        <f t="shared" si="28"/>
        <v>418.88000000000005</v>
      </c>
      <c r="K593" s="12"/>
      <c r="L593" s="63">
        <f t="shared" si="30"/>
        <v>74883.710000000006</v>
      </c>
      <c r="M593" s="25"/>
    </row>
    <row r="594" spans="2:13" x14ac:dyDescent="0.2">
      <c r="B594" s="110">
        <v>43719</v>
      </c>
      <c r="C594" s="353"/>
      <c r="D594" s="65"/>
      <c r="E594" s="13"/>
      <c r="F594" s="15"/>
      <c r="G594" s="15"/>
      <c r="H594" s="112">
        <v>164</v>
      </c>
      <c r="I594" s="12">
        <f t="shared" si="27"/>
        <v>52.480000000000004</v>
      </c>
      <c r="J594" s="12">
        <f t="shared" si="28"/>
        <v>111.52000000000001</v>
      </c>
      <c r="K594" s="12"/>
      <c r="L594" s="63">
        <f t="shared" si="30"/>
        <v>74995.23000000001</v>
      </c>
      <c r="M594" s="25"/>
    </row>
    <row r="595" spans="2:13" x14ac:dyDescent="0.2">
      <c r="B595" s="110">
        <v>43724</v>
      </c>
      <c r="C595" s="353"/>
      <c r="D595" s="65"/>
      <c r="E595" s="13"/>
      <c r="F595" s="15"/>
      <c r="G595" s="15"/>
      <c r="H595" s="112">
        <v>100</v>
      </c>
      <c r="I595" s="12">
        <f t="shared" si="27"/>
        <v>32</v>
      </c>
      <c r="J595" s="12">
        <f t="shared" si="28"/>
        <v>68</v>
      </c>
      <c r="K595" s="12"/>
      <c r="L595" s="63">
        <f t="shared" si="30"/>
        <v>75063.23000000001</v>
      </c>
      <c r="M595" s="25"/>
    </row>
    <row r="596" spans="2:13" x14ac:dyDescent="0.2">
      <c r="B596" s="110">
        <v>43725</v>
      </c>
      <c r="C596" s="353"/>
      <c r="D596" s="65"/>
      <c r="E596" s="13"/>
      <c r="F596" s="15"/>
      <c r="G596" s="15"/>
      <c r="H596" s="112">
        <v>408</v>
      </c>
      <c r="I596" s="12">
        <f t="shared" si="27"/>
        <v>130.56</v>
      </c>
      <c r="J596" s="12">
        <f t="shared" si="28"/>
        <v>277.44</v>
      </c>
      <c r="K596" s="12"/>
      <c r="L596" s="63">
        <f t="shared" si="30"/>
        <v>75340.670000000013</v>
      </c>
      <c r="M596" s="25"/>
    </row>
    <row r="597" spans="2:13" x14ac:dyDescent="0.2">
      <c r="B597" s="110">
        <v>43726</v>
      </c>
      <c r="C597" s="353"/>
      <c r="D597" s="65"/>
      <c r="E597" s="13"/>
      <c r="F597" s="15"/>
      <c r="G597" s="15"/>
      <c r="H597" s="112">
        <v>416</v>
      </c>
      <c r="I597" s="12">
        <f t="shared" si="27"/>
        <v>133.12</v>
      </c>
      <c r="J597" s="12">
        <f t="shared" si="28"/>
        <v>282.88</v>
      </c>
      <c r="K597" s="12"/>
      <c r="L597" s="63">
        <f t="shared" si="30"/>
        <v>75623.550000000017</v>
      </c>
      <c r="M597" s="25"/>
    </row>
    <row r="598" spans="2:13" x14ac:dyDescent="0.2">
      <c r="B598" s="110">
        <v>43727</v>
      </c>
      <c r="C598" s="353"/>
      <c r="D598" s="65"/>
      <c r="E598" s="13"/>
      <c r="F598" s="15"/>
      <c r="G598" s="15"/>
      <c r="H598" s="112">
        <v>100</v>
      </c>
      <c r="I598" s="12">
        <f t="shared" si="27"/>
        <v>32</v>
      </c>
      <c r="J598" s="12">
        <f t="shared" si="28"/>
        <v>68</v>
      </c>
      <c r="K598" s="12"/>
      <c r="L598" s="63">
        <f t="shared" si="30"/>
        <v>75691.550000000017</v>
      </c>
      <c r="M598" s="25"/>
    </row>
    <row r="599" spans="2:13" x14ac:dyDescent="0.2">
      <c r="B599" s="110">
        <v>43731</v>
      </c>
      <c r="C599" s="353"/>
      <c r="D599" s="65"/>
      <c r="E599" s="13"/>
      <c r="F599" s="15"/>
      <c r="G599" s="15"/>
      <c r="H599" s="112">
        <v>680</v>
      </c>
      <c r="I599" s="12">
        <f t="shared" si="27"/>
        <v>217.6</v>
      </c>
      <c r="J599" s="12">
        <f t="shared" si="28"/>
        <v>462.40000000000003</v>
      </c>
      <c r="K599" s="12"/>
      <c r="L599" s="63">
        <f t="shared" si="30"/>
        <v>76153.950000000012</v>
      </c>
      <c r="M599" s="25"/>
    </row>
    <row r="600" spans="2:13" x14ac:dyDescent="0.2">
      <c r="B600" s="110">
        <v>43732</v>
      </c>
      <c r="C600" s="353"/>
      <c r="D600" s="65"/>
      <c r="E600" s="13"/>
      <c r="F600" s="15"/>
      <c r="G600" s="15"/>
      <c r="H600" s="112">
        <v>100</v>
      </c>
      <c r="I600" s="12">
        <f t="shared" si="27"/>
        <v>32</v>
      </c>
      <c r="J600" s="12">
        <f t="shared" si="28"/>
        <v>68</v>
      </c>
      <c r="K600" s="12"/>
      <c r="L600" s="63">
        <f t="shared" si="30"/>
        <v>76221.950000000012</v>
      </c>
      <c r="M600" s="25"/>
    </row>
    <row r="601" spans="2:13" x14ac:dyDescent="0.2">
      <c r="B601" s="110">
        <v>43733</v>
      </c>
      <c r="C601" s="353"/>
      <c r="D601" s="65"/>
      <c r="E601" s="13"/>
      <c r="F601" s="15"/>
      <c r="G601" s="15"/>
      <c r="H601" s="112">
        <v>204</v>
      </c>
      <c r="I601" s="12">
        <f t="shared" si="27"/>
        <v>65.28</v>
      </c>
      <c r="J601" s="12">
        <f t="shared" si="28"/>
        <v>138.72</v>
      </c>
      <c r="K601" s="12"/>
      <c r="L601" s="63">
        <f t="shared" si="30"/>
        <v>76360.670000000013</v>
      </c>
      <c r="M601" s="25"/>
    </row>
    <row r="602" spans="2:13" x14ac:dyDescent="0.2">
      <c r="B602" s="110">
        <v>43734</v>
      </c>
      <c r="C602" s="353"/>
      <c r="D602" s="65"/>
      <c r="E602" s="13"/>
      <c r="F602" s="15"/>
      <c r="G602" s="15"/>
      <c r="H602" s="112">
        <v>606</v>
      </c>
      <c r="I602" s="12">
        <f t="shared" si="27"/>
        <v>193.92000000000002</v>
      </c>
      <c r="J602" s="12">
        <f t="shared" si="28"/>
        <v>412.08000000000004</v>
      </c>
      <c r="K602" s="12"/>
      <c r="L602" s="63">
        <f t="shared" si="30"/>
        <v>76772.750000000015</v>
      </c>
      <c r="M602" s="25"/>
    </row>
    <row r="603" spans="2:13" x14ac:dyDescent="0.2">
      <c r="B603" s="110">
        <v>43735</v>
      </c>
      <c r="C603" s="353"/>
      <c r="D603" s="65"/>
      <c r="E603" s="13"/>
      <c r="F603" s="15"/>
      <c r="G603" s="15"/>
      <c r="H603" s="112">
        <v>308</v>
      </c>
      <c r="I603" s="12">
        <f t="shared" si="27"/>
        <v>98.56</v>
      </c>
      <c r="J603" s="12">
        <f t="shared" si="28"/>
        <v>209.44000000000003</v>
      </c>
      <c r="K603" s="12"/>
      <c r="L603" s="63">
        <f t="shared" si="30"/>
        <v>76982.190000000017</v>
      </c>
      <c r="M603" s="25"/>
    </row>
    <row r="604" spans="2:13" x14ac:dyDescent="0.2">
      <c r="B604" s="110">
        <v>43738</v>
      </c>
      <c r="C604" s="353"/>
      <c r="D604" s="65"/>
      <c r="E604" s="13"/>
      <c r="F604" s="15"/>
      <c r="G604" s="15"/>
      <c r="H604" s="112">
        <v>308</v>
      </c>
      <c r="I604" s="12">
        <f t="shared" si="27"/>
        <v>98.56</v>
      </c>
      <c r="J604" s="12">
        <f t="shared" si="28"/>
        <v>209.44000000000003</v>
      </c>
      <c r="K604" s="12"/>
      <c r="L604" s="63">
        <f t="shared" si="30"/>
        <v>77191.630000000019</v>
      </c>
      <c r="M604" s="25"/>
    </row>
    <row r="605" spans="2:13" x14ac:dyDescent="0.2">
      <c r="B605" s="110">
        <v>43713</v>
      </c>
      <c r="C605" s="353"/>
      <c r="D605" s="65"/>
      <c r="E605" s="13"/>
      <c r="F605" s="15"/>
      <c r="G605" s="15"/>
      <c r="H605" s="112">
        <v>164</v>
      </c>
      <c r="I605" s="12">
        <f t="shared" si="27"/>
        <v>52.480000000000004</v>
      </c>
      <c r="J605" s="12">
        <f t="shared" si="28"/>
        <v>111.52000000000001</v>
      </c>
      <c r="K605" s="12"/>
      <c r="L605" s="63">
        <f t="shared" si="30"/>
        <v>77303.150000000023</v>
      </c>
      <c r="M605" s="25"/>
    </row>
    <row r="606" spans="2:13" x14ac:dyDescent="0.2">
      <c r="B606" s="110">
        <v>43714</v>
      </c>
      <c r="C606" s="353"/>
      <c r="D606" s="65"/>
      <c r="E606" s="13"/>
      <c r="F606" s="15"/>
      <c r="G606" s="15"/>
      <c r="H606" s="112">
        <v>164</v>
      </c>
      <c r="I606" s="12">
        <f t="shared" si="27"/>
        <v>52.480000000000004</v>
      </c>
      <c r="J606" s="12">
        <f t="shared" si="28"/>
        <v>111.52000000000001</v>
      </c>
      <c r="K606" s="12"/>
      <c r="L606" s="63">
        <f t="shared" si="30"/>
        <v>77414.670000000027</v>
      </c>
      <c r="M606" s="25"/>
    </row>
    <row r="607" spans="2:13" x14ac:dyDescent="0.2">
      <c r="B607" s="110">
        <v>43721</v>
      </c>
      <c r="C607" s="353"/>
      <c r="D607" s="65"/>
      <c r="E607" s="13"/>
      <c r="F607" s="15"/>
      <c r="G607" s="15"/>
      <c r="H607" s="112">
        <v>164</v>
      </c>
      <c r="I607" s="12">
        <f t="shared" si="27"/>
        <v>52.480000000000004</v>
      </c>
      <c r="J607" s="12">
        <f t="shared" si="28"/>
        <v>111.52000000000001</v>
      </c>
      <c r="K607" s="12"/>
      <c r="L607" s="63">
        <f t="shared" si="30"/>
        <v>77526.190000000031</v>
      </c>
      <c r="M607" s="25"/>
    </row>
    <row r="608" spans="2:13" x14ac:dyDescent="0.2">
      <c r="B608" s="110">
        <v>43725</v>
      </c>
      <c r="C608" s="353"/>
      <c r="D608" s="65"/>
      <c r="E608" s="13"/>
      <c r="F608" s="15"/>
      <c r="G608" s="15"/>
      <c r="H608" s="112">
        <v>164</v>
      </c>
      <c r="I608" s="12">
        <f t="shared" si="27"/>
        <v>52.480000000000004</v>
      </c>
      <c r="J608" s="12">
        <f t="shared" si="28"/>
        <v>111.52000000000001</v>
      </c>
      <c r="K608" s="12"/>
      <c r="L608" s="63">
        <f t="shared" si="30"/>
        <v>77637.710000000036</v>
      </c>
      <c r="M608" s="25"/>
    </row>
    <row r="609" spans="2:13" x14ac:dyDescent="0.2">
      <c r="B609" s="110">
        <v>43727</v>
      </c>
      <c r="C609" s="353"/>
      <c r="D609" s="65"/>
      <c r="E609" s="13"/>
      <c r="F609" s="15"/>
      <c r="G609" s="15"/>
      <c r="H609" s="112">
        <v>100</v>
      </c>
      <c r="I609" s="12">
        <f t="shared" si="27"/>
        <v>32</v>
      </c>
      <c r="J609" s="12">
        <f t="shared" si="28"/>
        <v>68</v>
      </c>
      <c r="K609" s="12"/>
      <c r="L609" s="63">
        <f t="shared" si="30"/>
        <v>77705.710000000036</v>
      </c>
      <c r="M609" s="25"/>
    </row>
    <row r="610" spans="2:13" x14ac:dyDescent="0.2">
      <c r="B610" s="110">
        <v>43734</v>
      </c>
      <c r="C610" s="353"/>
      <c r="D610" s="65"/>
      <c r="E610" s="13"/>
      <c r="F610" s="15"/>
      <c r="G610" s="15"/>
      <c r="H610" s="112">
        <v>100</v>
      </c>
      <c r="I610" s="12">
        <f t="shared" si="27"/>
        <v>32</v>
      </c>
      <c r="J610" s="12">
        <f t="shared" si="28"/>
        <v>68</v>
      </c>
      <c r="K610" s="12"/>
      <c r="L610" s="63">
        <f t="shared" si="30"/>
        <v>77773.710000000036</v>
      </c>
      <c r="M610" s="25"/>
    </row>
    <row r="611" spans="2:13" x14ac:dyDescent="0.2">
      <c r="B611" s="110">
        <v>43738</v>
      </c>
      <c r="C611" s="353"/>
      <c r="D611" s="65"/>
      <c r="E611" s="13"/>
      <c r="F611" s="15"/>
      <c r="G611" s="15"/>
      <c r="H611" s="112">
        <v>308</v>
      </c>
      <c r="I611" s="12">
        <f t="shared" si="27"/>
        <v>98.56</v>
      </c>
      <c r="J611" s="12">
        <f t="shared" si="28"/>
        <v>209.44000000000003</v>
      </c>
      <c r="K611" s="12"/>
      <c r="L611" s="63">
        <f t="shared" si="30"/>
        <v>77983.150000000038</v>
      </c>
      <c r="M611" s="25"/>
    </row>
    <row r="612" spans="2:13" x14ac:dyDescent="0.2">
      <c r="B612" s="110"/>
      <c r="C612" s="353"/>
      <c r="D612" s="65"/>
      <c r="E612" s="13"/>
      <c r="F612" s="15"/>
      <c r="G612" s="15"/>
      <c r="H612" s="112"/>
      <c r="I612" s="12"/>
      <c r="J612" s="12"/>
      <c r="K612" s="12"/>
      <c r="L612" s="63">
        <f t="shared" si="30"/>
        <v>77983.150000000038</v>
      </c>
      <c r="M612" s="25"/>
    </row>
    <row r="613" spans="2:13" x14ac:dyDescent="0.2">
      <c r="B613" s="110"/>
      <c r="C613" s="65"/>
      <c r="D613" s="65"/>
      <c r="E613" s="13"/>
      <c r="F613" s="15"/>
      <c r="G613" s="66"/>
      <c r="H613" s="112"/>
      <c r="I613" s="12"/>
      <c r="J613" s="12"/>
      <c r="K613" s="12"/>
      <c r="L613" s="63">
        <f t="shared" si="30"/>
        <v>77983.150000000038</v>
      </c>
      <c r="M613" s="25"/>
    </row>
    <row r="614" spans="2:13" x14ac:dyDescent="0.2">
      <c r="B614" s="547" t="s">
        <v>256</v>
      </c>
      <c r="C614" s="548"/>
      <c r="D614" s="548"/>
      <c r="E614" s="548"/>
      <c r="F614" s="548"/>
      <c r="G614" s="548"/>
      <c r="H614" s="548"/>
      <c r="I614" s="548"/>
      <c r="J614" s="548"/>
      <c r="K614" s="548"/>
      <c r="L614" s="63">
        <f t="shared" si="30"/>
        <v>77983.150000000038</v>
      </c>
      <c r="M614" s="25"/>
    </row>
    <row r="615" spans="2:13" x14ac:dyDescent="0.2">
      <c r="B615" s="552" t="s">
        <v>56</v>
      </c>
      <c r="C615" s="553"/>
      <c r="D615" s="554" t="s">
        <v>51</v>
      </c>
      <c r="E615" s="554"/>
      <c r="F615" s="554"/>
      <c r="G615" s="94"/>
      <c r="H615" s="95"/>
      <c r="I615" s="96"/>
      <c r="J615" s="96"/>
      <c r="K615" s="97"/>
      <c r="L615" s="63">
        <f t="shared" si="30"/>
        <v>77983.150000000038</v>
      </c>
      <c r="M615" s="25"/>
    </row>
    <row r="616" spans="2:13" x14ac:dyDescent="0.2">
      <c r="B616" s="91" t="s">
        <v>1</v>
      </c>
      <c r="C616" s="92" t="s">
        <v>57</v>
      </c>
      <c r="D616" s="92" t="s">
        <v>2</v>
      </c>
      <c r="E616" s="402" t="s">
        <v>3</v>
      </c>
      <c r="F616" s="402" t="s">
        <v>4</v>
      </c>
      <c r="G616" s="561" t="s">
        <v>58</v>
      </c>
      <c r="H616" s="562"/>
      <c r="I616" s="562"/>
      <c r="J616" s="563"/>
      <c r="K616" s="90"/>
      <c r="L616" s="63">
        <f t="shared" si="30"/>
        <v>77983.150000000038</v>
      </c>
      <c r="M616" s="25"/>
    </row>
    <row r="617" spans="2:13" x14ac:dyDescent="0.2">
      <c r="B617" s="64"/>
      <c r="C617" s="77"/>
      <c r="D617" s="78"/>
      <c r="E617" s="3"/>
      <c r="F617" s="16"/>
      <c r="G617" s="403"/>
      <c r="H617" s="373"/>
      <c r="I617" s="373"/>
      <c r="J617" s="12"/>
      <c r="K617" s="12"/>
      <c r="L617" s="63">
        <f t="shared" si="30"/>
        <v>77983.150000000038</v>
      </c>
      <c r="M617" s="25"/>
    </row>
    <row r="618" spans="2:13" ht="27.75" customHeight="1" x14ac:dyDescent="0.2">
      <c r="B618" s="10">
        <v>43712</v>
      </c>
      <c r="C618" s="77" t="s">
        <v>653</v>
      </c>
      <c r="D618" s="77"/>
      <c r="E618" s="3"/>
      <c r="F618" s="16"/>
      <c r="G618" s="571" t="s">
        <v>654</v>
      </c>
      <c r="H618" s="572"/>
      <c r="I618" s="573"/>
      <c r="J618" s="349"/>
      <c r="K618" s="70">
        <v>6000</v>
      </c>
      <c r="L618" s="63">
        <f t="shared" si="30"/>
        <v>71983.150000000038</v>
      </c>
      <c r="M618" s="25"/>
    </row>
    <row r="619" spans="2:13" ht="27" customHeight="1" x14ac:dyDescent="0.2">
      <c r="B619" s="10">
        <v>43726</v>
      </c>
      <c r="C619" s="77" t="s">
        <v>658</v>
      </c>
      <c r="D619" s="77"/>
      <c r="E619" s="3"/>
      <c r="F619" s="16"/>
      <c r="G619" s="571" t="s">
        <v>659</v>
      </c>
      <c r="H619" s="572"/>
      <c r="I619" s="573"/>
      <c r="J619" s="349"/>
      <c r="K619" s="70">
        <f>1040+1040</f>
        <v>2080</v>
      </c>
      <c r="L619" s="63">
        <f t="shared" si="30"/>
        <v>69903.150000000038</v>
      </c>
      <c r="M619" s="25"/>
    </row>
    <row r="620" spans="2:13" ht="24.75" customHeight="1" x14ac:dyDescent="0.2">
      <c r="B620" s="10">
        <v>43727</v>
      </c>
      <c r="C620" s="77"/>
      <c r="D620" s="77"/>
      <c r="E620" s="3"/>
      <c r="F620" s="16"/>
      <c r="G620" s="571" t="s">
        <v>660</v>
      </c>
      <c r="H620" s="572"/>
      <c r="I620" s="573"/>
      <c r="J620" s="349"/>
      <c r="K620" s="70">
        <f>1700+950+850</f>
        <v>3500</v>
      </c>
      <c r="L620" s="63">
        <f t="shared" si="30"/>
        <v>66403.150000000038</v>
      </c>
      <c r="M620" s="25"/>
    </row>
    <row r="621" spans="2:13" ht="24.75" customHeight="1" x14ac:dyDescent="0.2">
      <c r="B621" s="10">
        <v>43732</v>
      </c>
      <c r="C621" s="77" t="s">
        <v>661</v>
      </c>
      <c r="D621" s="77"/>
      <c r="E621" s="3"/>
      <c r="F621" s="16"/>
      <c r="G621" s="571" t="s">
        <v>662</v>
      </c>
      <c r="H621" s="572"/>
      <c r="I621" s="573"/>
      <c r="J621" s="349"/>
      <c r="K621" s="70">
        <v>2500</v>
      </c>
      <c r="L621" s="63">
        <f t="shared" si="30"/>
        <v>63903.150000000038</v>
      </c>
      <c r="M621" s="25"/>
    </row>
    <row r="622" spans="2:13" ht="46.5" customHeight="1" x14ac:dyDescent="0.2">
      <c r="B622" s="10">
        <v>43732</v>
      </c>
      <c r="C622" s="77" t="s">
        <v>661</v>
      </c>
      <c r="D622" s="77"/>
      <c r="E622" s="3"/>
      <c r="F622" s="16"/>
      <c r="G622" s="571" t="s">
        <v>663</v>
      </c>
      <c r="H622" s="572"/>
      <c r="I622" s="573"/>
      <c r="J622" s="349"/>
      <c r="K622" s="70">
        <v>800</v>
      </c>
      <c r="L622" s="63">
        <f t="shared" si="30"/>
        <v>63103.150000000038</v>
      </c>
      <c r="M622" s="25"/>
    </row>
    <row r="623" spans="2:13" ht="48.75" customHeight="1" x14ac:dyDescent="0.2">
      <c r="B623" s="10">
        <v>43732</v>
      </c>
      <c r="C623" s="77" t="s">
        <v>661</v>
      </c>
      <c r="D623" s="77"/>
      <c r="E623" s="3"/>
      <c r="F623" s="16"/>
      <c r="G623" s="571" t="s">
        <v>664</v>
      </c>
      <c r="H623" s="572"/>
      <c r="I623" s="573"/>
      <c r="J623" s="349"/>
      <c r="K623" s="70">
        <v>200</v>
      </c>
      <c r="L623" s="63">
        <f t="shared" si="30"/>
        <v>62903.150000000038</v>
      </c>
      <c r="M623" s="25"/>
    </row>
    <row r="624" spans="2:13" ht="37.5" customHeight="1" x14ac:dyDescent="0.2">
      <c r="B624" s="10">
        <v>43732</v>
      </c>
      <c r="C624" s="77" t="s">
        <v>661</v>
      </c>
      <c r="D624" s="77"/>
      <c r="E624" s="3"/>
      <c r="F624" s="16"/>
      <c r="G624" s="571" t="s">
        <v>665</v>
      </c>
      <c r="H624" s="572"/>
      <c r="I624" s="573"/>
      <c r="J624" s="349"/>
      <c r="K624" s="70">
        <v>900</v>
      </c>
      <c r="L624" s="63">
        <f t="shared" si="30"/>
        <v>62003.150000000038</v>
      </c>
      <c r="M624" s="25"/>
    </row>
    <row r="625" spans="2:13" ht="41.25" customHeight="1" x14ac:dyDescent="0.2">
      <c r="B625" s="10">
        <v>43732</v>
      </c>
      <c r="C625" s="77" t="s">
        <v>661</v>
      </c>
      <c r="D625" s="77"/>
      <c r="E625" s="3"/>
      <c r="F625" s="16"/>
      <c r="G625" s="571" t="s">
        <v>666</v>
      </c>
      <c r="H625" s="572"/>
      <c r="I625" s="573"/>
      <c r="J625" s="349"/>
      <c r="K625" s="70">
        <v>800</v>
      </c>
      <c r="L625" s="63">
        <f t="shared" si="30"/>
        <v>61203.150000000038</v>
      </c>
      <c r="M625" s="25"/>
    </row>
    <row r="626" spans="2:13" x14ac:dyDescent="0.2">
      <c r="B626" s="10"/>
      <c r="C626" s="77"/>
      <c r="D626" s="77"/>
      <c r="E626" s="3"/>
      <c r="F626" s="16"/>
      <c r="G626" s="375"/>
      <c r="H626" s="376"/>
      <c r="I626" s="399"/>
      <c r="J626" s="349"/>
      <c r="K626" s="70"/>
      <c r="L626" s="63">
        <f t="shared" si="30"/>
        <v>61203.150000000038</v>
      </c>
      <c r="M626" s="25"/>
    </row>
    <row r="627" spans="2:13" ht="12.75" thickBot="1" x14ac:dyDescent="0.25">
      <c r="B627" s="64"/>
      <c r="C627" s="65"/>
      <c r="D627" s="65"/>
      <c r="E627" s="13"/>
      <c r="F627" s="13"/>
      <c r="G627" s="104"/>
      <c r="H627" s="84"/>
      <c r="I627" s="12"/>
      <c r="J627" s="12"/>
      <c r="K627" s="12"/>
      <c r="L627" s="63"/>
      <c r="M627" s="25"/>
    </row>
    <row r="628" spans="2:13" x14ac:dyDescent="0.2">
      <c r="B628" s="56"/>
      <c r="C628" s="57"/>
      <c r="D628" s="57"/>
      <c r="E628" s="5"/>
      <c r="F628" s="5"/>
      <c r="G628" s="85" t="s">
        <v>26</v>
      </c>
      <c r="H628" s="107">
        <f>SUM(H567:H612)</f>
        <v>32263</v>
      </c>
      <c r="I628" s="105">
        <f>SUM(I567:I612)</f>
        <v>10324.159999999998</v>
      </c>
      <c r="J628" s="106">
        <f>SUM(J567:J612)</f>
        <v>21938.840000000004</v>
      </c>
      <c r="K628" s="106">
        <f>SUM(K617:K625)</f>
        <v>16780</v>
      </c>
      <c r="L628" s="108"/>
      <c r="M628" s="25"/>
    </row>
    <row r="629" spans="2:13" ht="12.75" thickBot="1" x14ac:dyDescent="0.25">
      <c r="B629" s="71"/>
      <c r="C629" s="72"/>
      <c r="D629" s="72"/>
      <c r="E629" s="73"/>
      <c r="F629" s="73"/>
      <c r="G629" s="86" t="s">
        <v>13</v>
      </c>
      <c r="H629" s="100"/>
      <c r="I629" s="99"/>
      <c r="J629" s="87"/>
      <c r="K629" s="87"/>
      <c r="L629" s="88">
        <f>+J628-K628+L566</f>
        <v>61203.150000000009</v>
      </c>
      <c r="M629" s="25"/>
    </row>
    <row r="630" spans="2:13" x14ac:dyDescent="0.2">
      <c r="B630" s="25"/>
      <c r="H630" s="74"/>
      <c r="I630" s="25"/>
      <c r="L630" s="25"/>
      <c r="M630" s="25"/>
    </row>
    <row r="631" spans="2:13" x14ac:dyDescent="0.2">
      <c r="B631" s="544" t="s">
        <v>48</v>
      </c>
      <c r="C631" s="545"/>
      <c r="D631" s="545"/>
      <c r="E631" s="545"/>
      <c r="F631" s="545"/>
      <c r="G631" s="545"/>
      <c r="H631" s="545"/>
      <c r="I631" s="545"/>
      <c r="J631" s="545"/>
      <c r="K631" s="545"/>
      <c r="L631" s="546"/>
      <c r="M631" s="25"/>
    </row>
    <row r="632" spans="2:13" x14ac:dyDescent="0.2">
      <c r="B632" s="547" t="s">
        <v>669</v>
      </c>
      <c r="C632" s="548"/>
      <c r="D632" s="548"/>
      <c r="E632" s="548"/>
      <c r="F632" s="548"/>
      <c r="G632" s="548"/>
      <c r="H632" s="548"/>
      <c r="I632" s="548"/>
      <c r="J632" s="548"/>
      <c r="K632" s="548"/>
      <c r="L632" s="549"/>
      <c r="M632" s="25"/>
    </row>
    <row r="633" spans="2:13" x14ac:dyDescent="0.2">
      <c r="B633" s="550" t="s">
        <v>50</v>
      </c>
      <c r="C633" s="550"/>
      <c r="D633" s="551" t="s">
        <v>51</v>
      </c>
      <c r="E633" s="551"/>
      <c r="F633" s="551"/>
      <c r="G633" s="400"/>
      <c r="H633" s="400"/>
      <c r="I633" s="400"/>
      <c r="J633" s="400"/>
      <c r="K633" s="400"/>
      <c r="L633" s="401"/>
      <c r="M633" s="25"/>
    </row>
    <row r="634" spans="2:13" ht="24" x14ac:dyDescent="0.2">
      <c r="B634" s="56" t="s">
        <v>1</v>
      </c>
      <c r="C634" s="57" t="s">
        <v>2</v>
      </c>
      <c r="D634" s="57" t="s">
        <v>2</v>
      </c>
      <c r="E634" s="5" t="s">
        <v>3</v>
      </c>
      <c r="F634" s="5" t="s">
        <v>4</v>
      </c>
      <c r="G634" s="89" t="s">
        <v>6</v>
      </c>
      <c r="H634" s="83" t="s">
        <v>7</v>
      </c>
      <c r="I634" s="83" t="s">
        <v>52</v>
      </c>
      <c r="J634" s="83" t="s">
        <v>53</v>
      </c>
      <c r="K634" s="5" t="s">
        <v>10</v>
      </c>
      <c r="L634" s="5" t="s">
        <v>11</v>
      </c>
      <c r="M634" s="25"/>
    </row>
    <row r="635" spans="2:13" x14ac:dyDescent="0.2">
      <c r="B635" s="58"/>
      <c r="C635" s="59"/>
      <c r="D635" s="59"/>
      <c r="E635" s="13"/>
      <c r="F635" s="13"/>
      <c r="G635" s="24"/>
      <c r="H635" s="60"/>
      <c r="I635" s="61"/>
      <c r="J635" s="61"/>
      <c r="K635" s="61"/>
      <c r="L635" s="60">
        <f>L629</f>
        <v>61203.150000000009</v>
      </c>
      <c r="M635" s="25"/>
    </row>
    <row r="636" spans="2:13" x14ac:dyDescent="0.2">
      <c r="B636" s="110">
        <v>43741</v>
      </c>
      <c r="C636" s="353" t="s">
        <v>687</v>
      </c>
      <c r="D636" s="11"/>
      <c r="E636" s="15"/>
      <c r="F636" s="15"/>
      <c r="G636" s="15" t="s">
        <v>369</v>
      </c>
      <c r="H636" s="112">
        <v>50</v>
      </c>
      <c r="I636" s="12">
        <f>H636*0.32</f>
        <v>16</v>
      </c>
      <c r="J636" s="12">
        <f>H636*0.68</f>
        <v>34</v>
      </c>
      <c r="K636" s="12"/>
      <c r="L636" s="63">
        <f>+J636-K636+L635</f>
        <v>61237.150000000009</v>
      </c>
      <c r="M636" s="25"/>
    </row>
    <row r="637" spans="2:13" x14ac:dyDescent="0.2">
      <c r="B637" s="110">
        <v>43742</v>
      </c>
      <c r="C637" s="353" t="s">
        <v>687</v>
      </c>
      <c r="D637" s="11"/>
      <c r="E637" s="15"/>
      <c r="F637" s="15"/>
      <c r="G637" s="15" t="s">
        <v>369</v>
      </c>
      <c r="H637" s="112">
        <f>860-258</f>
        <v>602</v>
      </c>
      <c r="I637" s="12">
        <f t="shared" ref="I637:I667" si="31">H637*0.32</f>
        <v>192.64000000000001</v>
      </c>
      <c r="J637" s="12">
        <f t="shared" ref="J637:J667" si="32">H637*0.68</f>
        <v>409.36</v>
      </c>
      <c r="K637" s="12"/>
      <c r="L637" s="63">
        <f t="shared" ref="L637:L646" si="33">+J637-K637+L636</f>
        <v>61646.510000000009</v>
      </c>
      <c r="M637" s="25"/>
    </row>
    <row r="638" spans="2:13" x14ac:dyDescent="0.2">
      <c r="B638" s="110">
        <v>43745</v>
      </c>
      <c r="C638" s="353" t="s">
        <v>687</v>
      </c>
      <c r="D638" s="11"/>
      <c r="E638" s="15"/>
      <c r="F638" s="15"/>
      <c r="G638" s="15" t="s">
        <v>369</v>
      </c>
      <c r="H638" s="112">
        <v>308</v>
      </c>
      <c r="I638" s="12">
        <f t="shared" si="31"/>
        <v>98.56</v>
      </c>
      <c r="J638" s="12">
        <f t="shared" si="32"/>
        <v>209.44000000000003</v>
      </c>
      <c r="K638" s="12"/>
      <c r="L638" s="63">
        <f t="shared" si="33"/>
        <v>61855.950000000012</v>
      </c>
      <c r="M638" s="25"/>
    </row>
    <row r="639" spans="2:13" x14ac:dyDescent="0.2">
      <c r="B639" s="110">
        <v>43747</v>
      </c>
      <c r="C639" s="353" t="s">
        <v>687</v>
      </c>
      <c r="D639" s="11"/>
      <c r="E639" s="15"/>
      <c r="F639" s="15"/>
      <c r="G639" s="15" t="s">
        <v>369</v>
      </c>
      <c r="H639" s="112">
        <f>994-164</f>
        <v>830</v>
      </c>
      <c r="I639" s="12">
        <f t="shared" si="31"/>
        <v>265.60000000000002</v>
      </c>
      <c r="J639" s="12">
        <f t="shared" si="32"/>
        <v>564.40000000000009</v>
      </c>
      <c r="K639" s="12"/>
      <c r="L639" s="63">
        <f t="shared" si="33"/>
        <v>62420.350000000013</v>
      </c>
      <c r="M639" s="25"/>
    </row>
    <row r="640" spans="2:13" x14ac:dyDescent="0.2">
      <c r="B640" s="110">
        <v>43748</v>
      </c>
      <c r="C640" s="353" t="s">
        <v>687</v>
      </c>
      <c r="D640" s="11"/>
      <c r="E640" s="15"/>
      <c r="F640" s="15"/>
      <c r="G640" s="15" t="s">
        <v>369</v>
      </c>
      <c r="H640" s="112">
        <v>546</v>
      </c>
      <c r="I640" s="12">
        <f t="shared" si="31"/>
        <v>174.72</v>
      </c>
      <c r="J640" s="12">
        <f t="shared" si="32"/>
        <v>371.28000000000003</v>
      </c>
      <c r="K640" s="12"/>
      <c r="L640" s="63">
        <f t="shared" si="33"/>
        <v>62791.630000000012</v>
      </c>
      <c r="M640" s="25"/>
    </row>
    <row r="641" spans="2:13" x14ac:dyDescent="0.2">
      <c r="B641" s="110">
        <v>43749</v>
      </c>
      <c r="C641" s="353" t="s">
        <v>687</v>
      </c>
      <c r="D641" s="11"/>
      <c r="E641" s="15"/>
      <c r="F641" s="15"/>
      <c r="G641" s="15" t="s">
        <v>369</v>
      </c>
      <c r="H641" s="112">
        <v>1328</v>
      </c>
      <c r="I641" s="12">
        <f t="shared" si="31"/>
        <v>424.96000000000004</v>
      </c>
      <c r="J641" s="12">
        <f t="shared" si="32"/>
        <v>903.04000000000008</v>
      </c>
      <c r="K641" s="12"/>
      <c r="L641" s="63">
        <f t="shared" si="33"/>
        <v>63694.670000000013</v>
      </c>
      <c r="M641" s="25"/>
    </row>
    <row r="642" spans="2:13" x14ac:dyDescent="0.2">
      <c r="B642" s="110">
        <v>43752</v>
      </c>
      <c r="C642" s="353" t="s">
        <v>687</v>
      </c>
      <c r="D642" s="11"/>
      <c r="E642" s="15"/>
      <c r="F642" s="15"/>
      <c r="G642" s="15" t="s">
        <v>369</v>
      </c>
      <c r="H642" s="112">
        <v>20</v>
      </c>
      <c r="I642" s="12">
        <f t="shared" si="31"/>
        <v>6.4</v>
      </c>
      <c r="J642" s="12">
        <f t="shared" si="32"/>
        <v>13.600000000000001</v>
      </c>
      <c r="K642" s="12"/>
      <c r="L642" s="63">
        <f t="shared" si="33"/>
        <v>63708.270000000011</v>
      </c>
      <c r="M642" s="25"/>
    </row>
    <row r="643" spans="2:13" x14ac:dyDescent="0.2">
      <c r="B643" s="110">
        <v>43753</v>
      </c>
      <c r="C643" s="353" t="s">
        <v>687</v>
      </c>
      <c r="D643" s="77"/>
      <c r="E643" s="15"/>
      <c r="F643" s="15"/>
      <c r="G643" s="15" t="s">
        <v>369</v>
      </c>
      <c r="H643" s="112">
        <v>493</v>
      </c>
      <c r="I643" s="12">
        <f t="shared" si="31"/>
        <v>157.76</v>
      </c>
      <c r="J643" s="12">
        <f t="shared" si="32"/>
        <v>335.24</v>
      </c>
      <c r="K643" s="12"/>
      <c r="L643" s="63">
        <f t="shared" si="33"/>
        <v>64043.510000000009</v>
      </c>
      <c r="M643" s="25"/>
    </row>
    <row r="644" spans="2:13" x14ac:dyDescent="0.2">
      <c r="B644" s="110">
        <v>43755</v>
      </c>
      <c r="C644" s="353" t="s">
        <v>688</v>
      </c>
      <c r="D644" s="11"/>
      <c r="E644" s="15"/>
      <c r="F644" s="15"/>
      <c r="G644" s="15" t="s">
        <v>384</v>
      </c>
      <c r="H644" s="112">
        <v>50</v>
      </c>
      <c r="I644" s="12">
        <f t="shared" si="31"/>
        <v>16</v>
      </c>
      <c r="J644" s="12">
        <f t="shared" si="32"/>
        <v>34</v>
      </c>
      <c r="K644" s="12"/>
      <c r="L644" s="63">
        <f t="shared" si="33"/>
        <v>64077.510000000009</v>
      </c>
      <c r="M644" s="25"/>
    </row>
    <row r="645" spans="2:13" x14ac:dyDescent="0.2">
      <c r="B645" s="110">
        <v>43756</v>
      </c>
      <c r="C645" s="353" t="s">
        <v>688</v>
      </c>
      <c r="D645" s="11"/>
      <c r="E645" s="15"/>
      <c r="F645" s="15"/>
      <c r="G645" s="15" t="s">
        <v>384</v>
      </c>
      <c r="H645" s="112">
        <v>452</v>
      </c>
      <c r="I645" s="12">
        <f t="shared" si="31"/>
        <v>144.64000000000001</v>
      </c>
      <c r="J645" s="12">
        <f t="shared" si="32"/>
        <v>307.36</v>
      </c>
      <c r="K645" s="12"/>
      <c r="L645" s="63">
        <f t="shared" si="33"/>
        <v>64384.87000000001</v>
      </c>
      <c r="M645" s="25"/>
    </row>
    <row r="646" spans="2:13" x14ac:dyDescent="0.2">
      <c r="B646" s="110">
        <v>43759</v>
      </c>
      <c r="C646" s="353" t="s">
        <v>688</v>
      </c>
      <c r="D646" s="11"/>
      <c r="E646" s="15"/>
      <c r="F646" s="15"/>
      <c r="G646" s="15" t="s">
        <v>384</v>
      </c>
      <c r="H646" s="112">
        <v>308</v>
      </c>
      <c r="I646" s="12">
        <f t="shared" si="31"/>
        <v>98.56</v>
      </c>
      <c r="J646" s="12">
        <f t="shared" si="32"/>
        <v>209.44000000000003</v>
      </c>
      <c r="K646" s="12"/>
      <c r="L646" s="63">
        <f t="shared" si="33"/>
        <v>64594.310000000012</v>
      </c>
      <c r="M646" s="25"/>
    </row>
    <row r="647" spans="2:13" x14ac:dyDescent="0.2">
      <c r="B647" s="110">
        <v>43760</v>
      </c>
      <c r="C647" s="353" t="s">
        <v>688</v>
      </c>
      <c r="D647" s="65"/>
      <c r="E647" s="13"/>
      <c r="F647" s="15"/>
      <c r="G647" s="15" t="s">
        <v>384</v>
      </c>
      <c r="H647" s="112">
        <f>378-70</f>
        <v>308</v>
      </c>
      <c r="I647" s="12">
        <f t="shared" si="31"/>
        <v>98.56</v>
      </c>
      <c r="J647" s="12">
        <f t="shared" si="32"/>
        <v>209.44000000000003</v>
      </c>
      <c r="K647" s="12"/>
      <c r="L647" s="63">
        <f>+J647-K647+L646</f>
        <v>64803.750000000015</v>
      </c>
      <c r="M647" s="25"/>
    </row>
    <row r="648" spans="2:13" x14ac:dyDescent="0.2">
      <c r="B648" s="110">
        <v>43761</v>
      </c>
      <c r="C648" s="353" t="s">
        <v>688</v>
      </c>
      <c r="D648" s="65"/>
      <c r="E648" s="13"/>
      <c r="F648" s="15"/>
      <c r="G648" s="15" t="s">
        <v>384</v>
      </c>
      <c r="H648" s="112">
        <f>144-144</f>
        <v>0</v>
      </c>
      <c r="I648" s="12">
        <f t="shared" si="31"/>
        <v>0</v>
      </c>
      <c r="J648" s="12">
        <f t="shared" si="32"/>
        <v>0</v>
      </c>
      <c r="K648" s="12"/>
      <c r="L648" s="63">
        <f t="shared" ref="L648:L691" si="34">+J648-K648+L647</f>
        <v>64803.750000000015</v>
      </c>
      <c r="M648" s="25"/>
    </row>
    <row r="649" spans="2:13" x14ac:dyDescent="0.2">
      <c r="B649" s="110">
        <v>43766</v>
      </c>
      <c r="C649" s="353">
        <v>7264</v>
      </c>
      <c r="D649" s="65"/>
      <c r="E649" s="13"/>
      <c r="F649" s="15"/>
      <c r="G649" s="15" t="s">
        <v>386</v>
      </c>
      <c r="H649" s="112">
        <f>472-308</f>
        <v>164</v>
      </c>
      <c r="I649" s="12">
        <f t="shared" si="31"/>
        <v>52.480000000000004</v>
      </c>
      <c r="J649" s="12">
        <f t="shared" si="32"/>
        <v>111.52000000000001</v>
      </c>
      <c r="K649" s="12"/>
      <c r="L649" s="63">
        <f t="shared" si="34"/>
        <v>64915.270000000011</v>
      </c>
      <c r="M649" s="25"/>
    </row>
    <row r="650" spans="2:13" x14ac:dyDescent="0.2">
      <c r="B650" s="110">
        <v>43768</v>
      </c>
      <c r="C650" s="353">
        <v>7264</v>
      </c>
      <c r="D650" s="65"/>
      <c r="E650" s="13"/>
      <c r="F650" s="15"/>
      <c r="G650" s="15" t="s">
        <v>386</v>
      </c>
      <c r="H650" s="112">
        <f>791-144</f>
        <v>647</v>
      </c>
      <c r="I650" s="12">
        <f t="shared" si="31"/>
        <v>207.04</v>
      </c>
      <c r="J650" s="12">
        <f t="shared" si="32"/>
        <v>439.96000000000004</v>
      </c>
      <c r="K650" s="12"/>
      <c r="L650" s="63">
        <f t="shared" si="34"/>
        <v>65355.23000000001</v>
      </c>
      <c r="M650" s="25"/>
    </row>
    <row r="651" spans="2:13" x14ac:dyDescent="0.2">
      <c r="B651" s="110">
        <v>43742</v>
      </c>
      <c r="C651" s="353"/>
      <c r="D651" s="65"/>
      <c r="E651" s="13"/>
      <c r="F651" s="15"/>
      <c r="G651" s="15" t="s">
        <v>689</v>
      </c>
      <c r="H651" s="112">
        <v>194</v>
      </c>
      <c r="I651" s="12">
        <f t="shared" si="31"/>
        <v>62.08</v>
      </c>
      <c r="J651" s="12">
        <f t="shared" si="32"/>
        <v>131.92000000000002</v>
      </c>
      <c r="K651" s="12"/>
      <c r="L651" s="63">
        <f t="shared" si="34"/>
        <v>65487.150000000009</v>
      </c>
      <c r="M651" s="25"/>
    </row>
    <row r="652" spans="2:13" x14ac:dyDescent="0.2">
      <c r="B652" s="110">
        <v>43745</v>
      </c>
      <c r="C652" s="353"/>
      <c r="D652" s="65"/>
      <c r="E652" s="13"/>
      <c r="F652" s="15"/>
      <c r="G652" s="15" t="s">
        <v>689</v>
      </c>
      <c r="H652" s="112">
        <v>924</v>
      </c>
      <c r="I652" s="12">
        <f t="shared" si="31"/>
        <v>295.68</v>
      </c>
      <c r="J652" s="12">
        <f t="shared" si="32"/>
        <v>628.32000000000005</v>
      </c>
      <c r="K652" s="12"/>
      <c r="L652" s="63">
        <f t="shared" si="34"/>
        <v>66115.470000000016</v>
      </c>
      <c r="M652" s="25"/>
    </row>
    <row r="653" spans="2:13" x14ac:dyDescent="0.2">
      <c r="B653" s="110">
        <v>43745</v>
      </c>
      <c r="C653" s="353"/>
      <c r="D653" s="65"/>
      <c r="E653" s="13"/>
      <c r="F653" s="15"/>
      <c r="G653" s="15" t="s">
        <v>690</v>
      </c>
      <c r="H653" s="112">
        <v>3800</v>
      </c>
      <c r="I653" s="12">
        <f t="shared" si="31"/>
        <v>1216</v>
      </c>
      <c r="J653" s="12">
        <f t="shared" si="32"/>
        <v>2584</v>
      </c>
      <c r="K653" s="12"/>
      <c r="L653" s="63">
        <f t="shared" si="34"/>
        <v>68699.470000000016</v>
      </c>
      <c r="M653" s="25"/>
    </row>
    <row r="654" spans="2:13" x14ac:dyDescent="0.2">
      <c r="B654" s="110">
        <v>43747</v>
      </c>
      <c r="C654" s="353"/>
      <c r="D654" s="65"/>
      <c r="E654" s="13"/>
      <c r="F654" s="15"/>
      <c r="G654" s="15" t="s">
        <v>689</v>
      </c>
      <c r="H654" s="112">
        <v>50</v>
      </c>
      <c r="I654" s="12">
        <f t="shared" si="31"/>
        <v>16</v>
      </c>
      <c r="J654" s="12">
        <f t="shared" si="32"/>
        <v>34</v>
      </c>
      <c r="K654" s="12"/>
      <c r="L654" s="63">
        <f t="shared" si="34"/>
        <v>68733.470000000016</v>
      </c>
      <c r="M654" s="25"/>
    </row>
    <row r="655" spans="2:13" x14ac:dyDescent="0.2">
      <c r="B655" s="110">
        <v>43748</v>
      </c>
      <c r="C655" s="353"/>
      <c r="D655" s="65"/>
      <c r="E655" s="13"/>
      <c r="F655" s="15"/>
      <c r="G655" s="15" t="s">
        <v>689</v>
      </c>
      <c r="H655" s="112">
        <v>860</v>
      </c>
      <c r="I655" s="12">
        <f t="shared" si="31"/>
        <v>275.2</v>
      </c>
      <c r="J655" s="12">
        <f t="shared" si="32"/>
        <v>584.80000000000007</v>
      </c>
      <c r="K655" s="12"/>
      <c r="L655" s="63">
        <f t="shared" si="34"/>
        <v>69318.270000000019</v>
      </c>
      <c r="M655" s="25"/>
    </row>
    <row r="656" spans="2:13" x14ac:dyDescent="0.2">
      <c r="B656" s="110">
        <v>43756</v>
      </c>
      <c r="C656" s="353"/>
      <c r="D656" s="65"/>
      <c r="E656" s="13"/>
      <c r="F656" s="15"/>
      <c r="G656" s="15" t="s">
        <v>689</v>
      </c>
      <c r="H656" s="112">
        <v>100</v>
      </c>
      <c r="I656" s="12">
        <f t="shared" si="31"/>
        <v>32</v>
      </c>
      <c r="J656" s="12">
        <f t="shared" si="32"/>
        <v>68</v>
      </c>
      <c r="K656" s="12"/>
      <c r="L656" s="63">
        <f t="shared" si="34"/>
        <v>69386.270000000019</v>
      </c>
      <c r="M656" s="25"/>
    </row>
    <row r="657" spans="2:13" x14ac:dyDescent="0.2">
      <c r="B657" s="110">
        <v>43760</v>
      </c>
      <c r="C657" s="353"/>
      <c r="D657" s="65"/>
      <c r="E657" s="13"/>
      <c r="F657" s="15"/>
      <c r="G657" s="15" t="s">
        <v>689</v>
      </c>
      <c r="H657" s="112">
        <v>308</v>
      </c>
      <c r="I657" s="12">
        <f t="shared" si="31"/>
        <v>98.56</v>
      </c>
      <c r="J657" s="12">
        <f t="shared" si="32"/>
        <v>209.44000000000003</v>
      </c>
      <c r="K657" s="12"/>
      <c r="L657" s="63">
        <f t="shared" si="34"/>
        <v>69595.710000000021</v>
      </c>
      <c r="M657" s="25"/>
    </row>
    <row r="658" spans="2:13" x14ac:dyDescent="0.2">
      <c r="B658" s="110">
        <v>43763</v>
      </c>
      <c r="C658" s="353"/>
      <c r="D658" s="65"/>
      <c r="E658" s="13"/>
      <c r="F658" s="15"/>
      <c r="G658" s="15" t="s">
        <v>689</v>
      </c>
      <c r="H658" s="112">
        <v>288</v>
      </c>
      <c r="I658" s="12">
        <f t="shared" si="31"/>
        <v>92.16</v>
      </c>
      <c r="J658" s="12">
        <f t="shared" si="32"/>
        <v>195.84</v>
      </c>
      <c r="K658" s="12"/>
      <c r="L658" s="63">
        <f t="shared" si="34"/>
        <v>69791.550000000017</v>
      </c>
      <c r="M658" s="25"/>
    </row>
    <row r="659" spans="2:13" x14ac:dyDescent="0.2">
      <c r="B659" s="110">
        <v>43766</v>
      </c>
      <c r="C659" s="353"/>
      <c r="D659" s="65"/>
      <c r="E659" s="13"/>
      <c r="F659" s="15"/>
      <c r="G659" s="15" t="s">
        <v>691</v>
      </c>
      <c r="H659" s="112">
        <v>550</v>
      </c>
      <c r="I659" s="12">
        <f t="shared" si="31"/>
        <v>176</v>
      </c>
      <c r="J659" s="12">
        <f t="shared" si="32"/>
        <v>374</v>
      </c>
      <c r="K659" s="12"/>
      <c r="L659" s="63">
        <f t="shared" si="34"/>
        <v>70165.550000000017</v>
      </c>
      <c r="M659" s="25"/>
    </row>
    <row r="660" spans="2:13" x14ac:dyDescent="0.2">
      <c r="B660" s="110">
        <v>43740</v>
      </c>
      <c r="C660" s="353"/>
      <c r="D660" s="65"/>
      <c r="E660" s="13"/>
      <c r="F660" s="15"/>
      <c r="G660" s="15"/>
      <c r="H660" s="112">
        <v>308</v>
      </c>
      <c r="I660" s="12">
        <f t="shared" si="31"/>
        <v>98.56</v>
      </c>
      <c r="J660" s="12">
        <f t="shared" si="32"/>
        <v>209.44000000000003</v>
      </c>
      <c r="K660" s="12"/>
      <c r="L660" s="63">
        <f t="shared" si="34"/>
        <v>70374.99000000002</v>
      </c>
      <c r="M660" s="25"/>
    </row>
    <row r="661" spans="2:13" x14ac:dyDescent="0.2">
      <c r="B661" s="110">
        <v>43741</v>
      </c>
      <c r="C661" s="353"/>
      <c r="D661" s="65"/>
      <c r="E661" s="13"/>
      <c r="F661" s="15"/>
      <c r="G661" s="15"/>
      <c r="H661" s="112">
        <v>616</v>
      </c>
      <c r="I661" s="12">
        <f t="shared" si="31"/>
        <v>197.12</v>
      </c>
      <c r="J661" s="12">
        <f t="shared" si="32"/>
        <v>418.88000000000005</v>
      </c>
      <c r="K661" s="12"/>
      <c r="L661" s="63">
        <f t="shared" si="34"/>
        <v>70793.870000000024</v>
      </c>
      <c r="M661" s="25"/>
    </row>
    <row r="662" spans="2:13" x14ac:dyDescent="0.2">
      <c r="B662" s="110">
        <v>43742</v>
      </c>
      <c r="C662" s="353"/>
      <c r="D662" s="65"/>
      <c r="E662" s="13"/>
      <c r="F662" s="15"/>
      <c r="G662" s="15"/>
      <c r="H662" s="112">
        <v>1828</v>
      </c>
      <c r="I662" s="12">
        <f t="shared" si="31"/>
        <v>584.96</v>
      </c>
      <c r="J662" s="12">
        <f t="shared" si="32"/>
        <v>1243.0400000000002</v>
      </c>
      <c r="K662" s="12"/>
      <c r="L662" s="63">
        <f t="shared" si="34"/>
        <v>72036.910000000018</v>
      </c>
      <c r="M662" s="25"/>
    </row>
    <row r="663" spans="2:13" x14ac:dyDescent="0.2">
      <c r="B663" s="110">
        <v>43747</v>
      </c>
      <c r="C663" s="353"/>
      <c r="D663" s="65"/>
      <c r="E663" s="13"/>
      <c r="F663" s="15"/>
      <c r="G663" s="15"/>
      <c r="H663" s="112">
        <v>164</v>
      </c>
      <c r="I663" s="12">
        <f t="shared" si="31"/>
        <v>52.480000000000004</v>
      </c>
      <c r="J663" s="12">
        <f t="shared" si="32"/>
        <v>111.52000000000001</v>
      </c>
      <c r="K663" s="12"/>
      <c r="L663" s="63">
        <f t="shared" si="34"/>
        <v>72148.430000000022</v>
      </c>
      <c r="M663" s="25"/>
    </row>
    <row r="664" spans="2:13" x14ac:dyDescent="0.2">
      <c r="B664" s="110">
        <v>43755</v>
      </c>
      <c r="C664" s="353"/>
      <c r="D664" s="65"/>
      <c r="E664" s="13"/>
      <c r="F664" s="15"/>
      <c r="G664" s="15"/>
      <c r="H664" s="112">
        <v>308</v>
      </c>
      <c r="I664" s="12">
        <f t="shared" si="31"/>
        <v>98.56</v>
      </c>
      <c r="J664" s="12">
        <f t="shared" si="32"/>
        <v>209.44000000000003</v>
      </c>
      <c r="K664" s="12"/>
      <c r="L664" s="63">
        <f t="shared" si="34"/>
        <v>72357.870000000024</v>
      </c>
      <c r="M664" s="25"/>
    </row>
    <row r="665" spans="2:13" x14ac:dyDescent="0.2">
      <c r="B665" s="110">
        <v>43761</v>
      </c>
      <c r="C665" s="353"/>
      <c r="D665" s="65"/>
      <c r="E665" s="13"/>
      <c r="F665" s="15"/>
      <c r="G665" s="15"/>
      <c r="H665" s="112">
        <v>144</v>
      </c>
      <c r="I665" s="12">
        <f t="shared" si="31"/>
        <v>46.08</v>
      </c>
      <c r="J665" s="12">
        <f t="shared" si="32"/>
        <v>97.92</v>
      </c>
      <c r="K665" s="12"/>
      <c r="L665" s="63">
        <f t="shared" si="34"/>
        <v>72455.790000000023</v>
      </c>
      <c r="M665" s="25"/>
    </row>
    <row r="666" spans="2:13" x14ac:dyDescent="0.2">
      <c r="B666" s="110">
        <v>43766</v>
      </c>
      <c r="C666" s="353"/>
      <c r="D666" s="65"/>
      <c r="E666" s="13"/>
      <c r="F666" s="15"/>
      <c r="G666" s="15"/>
      <c r="H666" s="112">
        <v>1210</v>
      </c>
      <c r="I666" s="12">
        <f t="shared" si="31"/>
        <v>387.2</v>
      </c>
      <c r="J666" s="12">
        <f t="shared" si="32"/>
        <v>822.80000000000007</v>
      </c>
      <c r="K666" s="12"/>
      <c r="L666" s="63">
        <f t="shared" si="34"/>
        <v>73278.590000000026</v>
      </c>
      <c r="M666" s="25"/>
    </row>
    <row r="667" spans="2:13" x14ac:dyDescent="0.2">
      <c r="B667" s="110">
        <v>43768</v>
      </c>
      <c r="C667" s="353"/>
      <c r="D667" s="65"/>
      <c r="E667" s="13"/>
      <c r="F667" s="15"/>
      <c r="G667" s="15"/>
      <c r="H667" s="112">
        <v>144</v>
      </c>
      <c r="I667" s="12">
        <f t="shared" si="31"/>
        <v>46.08</v>
      </c>
      <c r="J667" s="12">
        <f t="shared" si="32"/>
        <v>97.92</v>
      </c>
      <c r="K667" s="12"/>
      <c r="L667" s="63">
        <f t="shared" si="34"/>
        <v>73376.510000000024</v>
      </c>
      <c r="M667" s="25"/>
    </row>
    <row r="668" spans="2:13" x14ac:dyDescent="0.2">
      <c r="B668" s="110"/>
      <c r="C668" s="353"/>
      <c r="D668" s="65"/>
      <c r="E668" s="13"/>
      <c r="F668" s="15"/>
      <c r="G668" s="15"/>
      <c r="H668" s="112"/>
      <c r="I668" s="12"/>
      <c r="J668" s="12"/>
      <c r="K668" s="12"/>
      <c r="L668" s="63">
        <f t="shared" si="34"/>
        <v>73376.510000000024</v>
      </c>
      <c r="M668" s="25"/>
    </row>
    <row r="669" spans="2:13" x14ac:dyDescent="0.2">
      <c r="B669" s="110"/>
      <c r="C669" s="353"/>
      <c r="D669" s="65"/>
      <c r="E669" s="13"/>
      <c r="F669" s="15"/>
      <c r="G669" s="15"/>
      <c r="H669" s="112"/>
      <c r="I669" s="12"/>
      <c r="J669" s="12"/>
      <c r="K669" s="12"/>
      <c r="L669" s="63">
        <f t="shared" si="34"/>
        <v>73376.510000000024</v>
      </c>
      <c r="M669" s="25"/>
    </row>
    <row r="670" spans="2:13" x14ac:dyDescent="0.2">
      <c r="B670" s="110"/>
      <c r="C670" s="353"/>
      <c r="D670" s="65"/>
      <c r="E670" s="13"/>
      <c r="F670" s="15"/>
      <c r="G670" s="15"/>
      <c r="H670" s="112"/>
      <c r="I670" s="12"/>
      <c r="J670" s="12"/>
      <c r="K670" s="12"/>
      <c r="L670" s="63">
        <f t="shared" si="34"/>
        <v>73376.510000000024</v>
      </c>
      <c r="M670" s="25"/>
    </row>
    <row r="671" spans="2:13" x14ac:dyDescent="0.2">
      <c r="B671" s="110"/>
      <c r="C671" s="353"/>
      <c r="D671" s="65"/>
      <c r="E671" s="13"/>
      <c r="F671" s="15"/>
      <c r="G671" s="15"/>
      <c r="H671" s="112"/>
      <c r="I671" s="12"/>
      <c r="J671" s="12"/>
      <c r="K671" s="12"/>
      <c r="L671" s="63">
        <f t="shared" si="34"/>
        <v>73376.510000000024</v>
      </c>
      <c r="M671" s="25"/>
    </row>
    <row r="672" spans="2:13" x14ac:dyDescent="0.2">
      <c r="B672" s="110"/>
      <c r="C672" s="353"/>
      <c r="D672" s="65"/>
      <c r="E672" s="13"/>
      <c r="F672" s="15"/>
      <c r="G672" s="15"/>
      <c r="H672" s="112"/>
      <c r="I672" s="12"/>
      <c r="J672" s="12"/>
      <c r="K672" s="12"/>
      <c r="L672" s="63">
        <f t="shared" si="34"/>
        <v>73376.510000000024</v>
      </c>
      <c r="M672" s="25"/>
    </row>
    <row r="673" spans="2:12" x14ac:dyDescent="0.2">
      <c r="B673" s="110"/>
      <c r="C673" s="65"/>
      <c r="D673" s="65"/>
      <c r="E673" s="13"/>
      <c r="F673" s="15"/>
      <c r="G673" s="66"/>
      <c r="H673" s="112"/>
      <c r="I673" s="12"/>
      <c r="J673" s="12"/>
      <c r="K673" s="12"/>
      <c r="L673" s="63">
        <f t="shared" si="34"/>
        <v>73376.510000000024</v>
      </c>
    </row>
    <row r="674" spans="2:12" x14ac:dyDescent="0.2">
      <c r="B674" s="547" t="s">
        <v>256</v>
      </c>
      <c r="C674" s="548"/>
      <c r="D674" s="548"/>
      <c r="E674" s="548"/>
      <c r="F674" s="548"/>
      <c r="G674" s="548"/>
      <c r="H674" s="548"/>
      <c r="I674" s="548"/>
      <c r="J674" s="548"/>
      <c r="K674" s="548"/>
      <c r="L674" s="63">
        <f t="shared" si="34"/>
        <v>73376.510000000024</v>
      </c>
    </row>
    <row r="675" spans="2:12" x14ac:dyDescent="0.2">
      <c r="B675" s="552" t="s">
        <v>56</v>
      </c>
      <c r="C675" s="553"/>
      <c r="D675" s="554" t="s">
        <v>51</v>
      </c>
      <c r="E675" s="554"/>
      <c r="F675" s="554"/>
      <c r="G675" s="94"/>
      <c r="H675" s="95"/>
      <c r="I675" s="96"/>
      <c r="J675" s="96"/>
      <c r="K675" s="97"/>
      <c r="L675" s="63">
        <f t="shared" si="34"/>
        <v>73376.510000000024</v>
      </c>
    </row>
    <row r="676" spans="2:12" x14ac:dyDescent="0.2">
      <c r="B676" s="91" t="s">
        <v>1</v>
      </c>
      <c r="C676" s="92" t="s">
        <v>57</v>
      </c>
      <c r="D676" s="92" t="s">
        <v>2</v>
      </c>
      <c r="E676" s="402" t="s">
        <v>3</v>
      </c>
      <c r="F676" s="402" t="s">
        <v>4</v>
      </c>
      <c r="G676" s="561" t="s">
        <v>58</v>
      </c>
      <c r="H676" s="562"/>
      <c r="I676" s="562"/>
      <c r="J676" s="563"/>
      <c r="K676" s="90"/>
      <c r="L676" s="63">
        <f t="shared" si="34"/>
        <v>73376.510000000024</v>
      </c>
    </row>
    <row r="677" spans="2:12" ht="51.75" customHeight="1" x14ac:dyDescent="0.2">
      <c r="B677" s="64">
        <v>43740</v>
      </c>
      <c r="C677" s="77" t="s">
        <v>670</v>
      </c>
      <c r="D677" s="78"/>
      <c r="E677" s="3"/>
      <c r="F677" s="16"/>
      <c r="G677" s="585" t="s">
        <v>671</v>
      </c>
      <c r="H677" s="586"/>
      <c r="I677" s="587"/>
      <c r="J677" s="12"/>
      <c r="K677" s="12">
        <v>715</v>
      </c>
      <c r="L677" s="63">
        <f t="shared" si="34"/>
        <v>72661.510000000024</v>
      </c>
    </row>
    <row r="678" spans="2:12" ht="52.5" customHeight="1" x14ac:dyDescent="0.2">
      <c r="B678" s="10">
        <v>43740</v>
      </c>
      <c r="C678" s="77" t="s">
        <v>672</v>
      </c>
      <c r="D678" s="77"/>
      <c r="E678" s="3"/>
      <c r="F678" s="16"/>
      <c r="G678" s="585" t="s">
        <v>673</v>
      </c>
      <c r="H678" s="586"/>
      <c r="I678" s="587"/>
      <c r="J678" s="349"/>
      <c r="K678" s="70">
        <v>1040</v>
      </c>
      <c r="L678" s="63">
        <f t="shared" si="34"/>
        <v>71621.510000000024</v>
      </c>
    </row>
    <row r="679" spans="2:12" ht="48" customHeight="1" x14ac:dyDescent="0.2">
      <c r="B679" s="10">
        <v>43740</v>
      </c>
      <c r="C679" s="77" t="s">
        <v>674</v>
      </c>
      <c r="D679" s="77"/>
      <c r="E679" s="3"/>
      <c r="F679" s="16"/>
      <c r="G679" s="585" t="s">
        <v>675</v>
      </c>
      <c r="H679" s="586"/>
      <c r="I679" s="587"/>
      <c r="J679" s="349"/>
      <c r="K679" s="70">
        <v>2000</v>
      </c>
      <c r="L679" s="63">
        <f t="shared" si="34"/>
        <v>69621.510000000024</v>
      </c>
    </row>
    <row r="680" spans="2:12" ht="48" customHeight="1" x14ac:dyDescent="0.2">
      <c r="B680" s="10">
        <v>43753</v>
      </c>
      <c r="C680" s="77" t="s">
        <v>678</v>
      </c>
      <c r="D680" s="77"/>
      <c r="E680" s="3"/>
      <c r="F680" s="16"/>
      <c r="G680" s="585" t="s">
        <v>679</v>
      </c>
      <c r="H680" s="586"/>
      <c r="I680" s="587"/>
      <c r="J680" s="349"/>
      <c r="K680" s="70"/>
      <c r="L680" s="63">
        <f t="shared" si="34"/>
        <v>69621.510000000024</v>
      </c>
    </row>
    <row r="681" spans="2:12" x14ac:dyDescent="0.2">
      <c r="B681" s="10"/>
      <c r="C681" s="77"/>
      <c r="D681" s="77"/>
      <c r="E681" s="3"/>
      <c r="F681" s="16"/>
      <c r="G681" s="571" t="s">
        <v>243</v>
      </c>
      <c r="H681" s="572"/>
      <c r="I681" s="573"/>
      <c r="J681" s="349"/>
      <c r="K681" s="70">
        <v>1196.97</v>
      </c>
      <c r="L681" s="63">
        <f t="shared" si="34"/>
        <v>68424.540000000023</v>
      </c>
    </row>
    <row r="682" spans="2:12" x14ac:dyDescent="0.2">
      <c r="B682" s="10"/>
      <c r="C682" s="77"/>
      <c r="D682" s="77"/>
      <c r="E682" s="3"/>
      <c r="F682" s="16"/>
      <c r="G682" s="571" t="s">
        <v>680</v>
      </c>
      <c r="H682" s="572"/>
      <c r="I682" s="573"/>
      <c r="J682" s="349"/>
      <c r="K682" s="70">
        <v>1595.96</v>
      </c>
      <c r="L682" s="63">
        <f t="shared" si="34"/>
        <v>66828.580000000016</v>
      </c>
    </row>
    <row r="683" spans="2:12" x14ac:dyDescent="0.2">
      <c r="B683" s="10"/>
      <c r="C683" s="77"/>
      <c r="D683" s="77"/>
      <c r="E683" s="3"/>
      <c r="F683" s="16"/>
      <c r="G683" s="571" t="s">
        <v>64</v>
      </c>
      <c r="H683" s="572"/>
      <c r="I683" s="573"/>
      <c r="J683" s="349"/>
      <c r="K683" s="70">
        <v>598.48500000000001</v>
      </c>
      <c r="L683" s="63">
        <f t="shared" si="34"/>
        <v>66230.095000000016</v>
      </c>
    </row>
    <row r="684" spans="2:12" x14ac:dyDescent="0.2">
      <c r="B684" s="10"/>
      <c r="C684" s="77"/>
      <c r="D684" s="77"/>
      <c r="E684" s="3"/>
      <c r="F684" s="16"/>
      <c r="G684" s="571" t="s">
        <v>65</v>
      </c>
      <c r="H684" s="572"/>
      <c r="I684" s="573"/>
      <c r="J684" s="349"/>
      <c r="K684" s="70">
        <v>598.48500000000001</v>
      </c>
      <c r="L684" s="63">
        <f t="shared" si="34"/>
        <v>65631.610000000015</v>
      </c>
    </row>
    <row r="685" spans="2:12" ht="40.5" customHeight="1" x14ac:dyDescent="0.2">
      <c r="B685" s="10">
        <v>43760</v>
      </c>
      <c r="C685" s="77" t="s">
        <v>681</v>
      </c>
      <c r="D685" s="77"/>
      <c r="E685" s="3"/>
      <c r="F685" s="16"/>
      <c r="G685" s="588" t="s">
        <v>682</v>
      </c>
      <c r="H685" s="589"/>
      <c r="I685" s="590"/>
      <c r="J685" s="349"/>
      <c r="K685" s="70"/>
      <c r="L685" s="63">
        <f t="shared" si="34"/>
        <v>65631.610000000015</v>
      </c>
    </row>
    <row r="686" spans="2:12" x14ac:dyDescent="0.2">
      <c r="B686" s="10"/>
      <c r="C686" s="77"/>
      <c r="D686" s="77"/>
      <c r="E686" s="3"/>
      <c r="F686" s="16"/>
      <c r="G686" s="571" t="s">
        <v>577</v>
      </c>
      <c r="H686" s="572"/>
      <c r="I686" s="573"/>
      <c r="J686" s="349"/>
      <c r="K686" s="70">
        <v>1700</v>
      </c>
      <c r="L686" s="63">
        <f t="shared" si="34"/>
        <v>63931.610000000015</v>
      </c>
    </row>
    <row r="687" spans="2:12" x14ac:dyDescent="0.2">
      <c r="B687" s="10"/>
      <c r="C687" s="77"/>
      <c r="D687" s="77"/>
      <c r="E687" s="3"/>
      <c r="F687" s="16"/>
      <c r="G687" s="571" t="s">
        <v>578</v>
      </c>
      <c r="H687" s="572"/>
      <c r="I687" s="573"/>
      <c r="J687" s="349"/>
      <c r="K687" s="70">
        <v>950</v>
      </c>
      <c r="L687" s="63">
        <f t="shared" si="34"/>
        <v>62981.610000000015</v>
      </c>
    </row>
    <row r="688" spans="2:12" x14ac:dyDescent="0.2">
      <c r="B688" s="10"/>
      <c r="C688" s="77"/>
      <c r="D688" s="77"/>
      <c r="E688" s="3"/>
      <c r="F688" s="16"/>
      <c r="G688" s="571" t="s">
        <v>579</v>
      </c>
      <c r="H688" s="572"/>
      <c r="I688" s="573"/>
      <c r="J688" s="349"/>
      <c r="K688" s="70">
        <v>850</v>
      </c>
      <c r="L688" s="63">
        <f t="shared" si="34"/>
        <v>62131.610000000015</v>
      </c>
    </row>
    <row r="689" spans="2:12" ht="58.5" customHeight="1" x14ac:dyDescent="0.2">
      <c r="B689" s="10">
        <v>43760</v>
      </c>
      <c r="C689" s="77" t="s">
        <v>683</v>
      </c>
      <c r="D689" s="77"/>
      <c r="E689" s="3"/>
      <c r="F689" s="16"/>
      <c r="G689" s="571" t="s">
        <v>684</v>
      </c>
      <c r="H689" s="572"/>
      <c r="I689" s="573"/>
      <c r="J689" s="349"/>
      <c r="K689" s="70">
        <v>100</v>
      </c>
      <c r="L689" s="63">
        <f t="shared" si="34"/>
        <v>62031.610000000015</v>
      </c>
    </row>
    <row r="690" spans="2:12" ht="54.75" customHeight="1" x14ac:dyDescent="0.2">
      <c r="B690" s="10">
        <v>43762</v>
      </c>
      <c r="C690" s="77" t="s">
        <v>685</v>
      </c>
      <c r="D690" s="77"/>
      <c r="E690" s="3"/>
      <c r="F690" s="16"/>
      <c r="G690" s="571" t="s">
        <v>686</v>
      </c>
      <c r="H690" s="572"/>
      <c r="I690" s="573"/>
      <c r="J690" s="349"/>
      <c r="K690" s="70">
        <v>1040</v>
      </c>
      <c r="L690" s="63">
        <f t="shared" si="34"/>
        <v>60991.610000000015</v>
      </c>
    </row>
    <row r="691" spans="2:12" x14ac:dyDescent="0.2">
      <c r="B691" s="10"/>
      <c r="C691" s="77"/>
      <c r="D691" s="77"/>
      <c r="E691" s="3"/>
      <c r="F691" s="16"/>
      <c r="G691" s="375"/>
      <c r="H691" s="376"/>
      <c r="I691" s="399"/>
      <c r="J691" s="349"/>
      <c r="K691" s="70"/>
      <c r="L691" s="63">
        <f t="shared" si="34"/>
        <v>60991.610000000015</v>
      </c>
    </row>
    <row r="692" spans="2:12" x14ac:dyDescent="0.2">
      <c r="B692" s="10"/>
      <c r="C692" s="77"/>
      <c r="D692" s="77"/>
      <c r="E692" s="3"/>
      <c r="F692" s="16"/>
      <c r="G692" s="375"/>
      <c r="H692" s="376"/>
      <c r="I692" s="399"/>
      <c r="J692" s="349"/>
      <c r="K692" s="70"/>
      <c r="L692" s="63"/>
    </row>
    <row r="693" spans="2:12" ht="12.75" thickBot="1" x14ac:dyDescent="0.25">
      <c r="B693" s="64"/>
      <c r="C693" s="65"/>
      <c r="D693" s="65"/>
      <c r="E693" s="13"/>
      <c r="F693" s="13"/>
      <c r="G693" s="104"/>
      <c r="H693" s="84"/>
      <c r="I693" s="12"/>
      <c r="J693" s="12"/>
      <c r="K693" s="12"/>
      <c r="L693" s="63"/>
    </row>
    <row r="694" spans="2:12" x14ac:dyDescent="0.2">
      <c r="B694" s="56"/>
      <c r="C694" s="57"/>
      <c r="D694" s="57"/>
      <c r="E694" s="5"/>
      <c r="F694" s="5"/>
      <c r="G694" s="85" t="s">
        <v>26</v>
      </c>
      <c r="H694" s="107">
        <f>SUM(H636:H668)</f>
        <v>17902</v>
      </c>
      <c r="I694" s="105">
        <f>SUM(I636:I670)</f>
        <v>5728.6399999999994</v>
      </c>
      <c r="J694" s="106">
        <f>SUM(J636:J670)</f>
        <v>12173.360000000002</v>
      </c>
      <c r="K694" s="106">
        <f>SUM(K677:K690)</f>
        <v>12384.9</v>
      </c>
      <c r="L694" s="108"/>
    </row>
    <row r="695" spans="2:12" ht="12.75" thickBot="1" x14ac:dyDescent="0.25">
      <c r="B695" s="71"/>
      <c r="C695" s="72"/>
      <c r="D695" s="72"/>
      <c r="E695" s="73"/>
      <c r="F695" s="73"/>
      <c r="G695" s="86" t="s">
        <v>13</v>
      </c>
      <c r="H695" s="100"/>
      <c r="I695" s="99"/>
      <c r="J695" s="87"/>
      <c r="K695" s="87"/>
      <c r="L695" s="88">
        <f>+J694-K694+L635</f>
        <v>60991.610000000015</v>
      </c>
    </row>
    <row r="696" spans="2:12" x14ac:dyDescent="0.2">
      <c r="B696" s="25"/>
      <c r="H696" s="74"/>
      <c r="I696" s="25"/>
      <c r="L696" s="25"/>
    </row>
    <row r="697" spans="2:12" x14ac:dyDescent="0.2">
      <c r="B697" s="544" t="s">
        <v>48</v>
      </c>
      <c r="C697" s="545"/>
      <c r="D697" s="545"/>
      <c r="E697" s="545"/>
      <c r="F697" s="545"/>
      <c r="G697" s="545"/>
      <c r="H697" s="545"/>
      <c r="I697" s="545"/>
      <c r="J697" s="545"/>
      <c r="K697" s="545"/>
      <c r="L697" s="546"/>
    </row>
    <row r="698" spans="2:12" x14ac:dyDescent="0.2">
      <c r="B698" s="547" t="s">
        <v>669</v>
      </c>
      <c r="C698" s="548"/>
      <c r="D698" s="548"/>
      <c r="E698" s="548"/>
      <c r="F698" s="548"/>
      <c r="G698" s="548"/>
      <c r="H698" s="548"/>
      <c r="I698" s="548"/>
      <c r="J698" s="548"/>
      <c r="K698" s="548"/>
      <c r="L698" s="549"/>
    </row>
    <row r="699" spans="2:12" x14ac:dyDescent="0.2">
      <c r="B699" s="550" t="s">
        <v>50</v>
      </c>
      <c r="C699" s="550"/>
      <c r="D699" s="551" t="s">
        <v>51</v>
      </c>
      <c r="E699" s="551"/>
      <c r="F699" s="551"/>
      <c r="G699" s="400"/>
      <c r="H699" s="400"/>
      <c r="I699" s="400"/>
      <c r="J699" s="400"/>
      <c r="K699" s="400"/>
      <c r="L699" s="401"/>
    </row>
    <row r="700" spans="2:12" ht="24" x14ac:dyDescent="0.2">
      <c r="B700" s="56" t="s">
        <v>1</v>
      </c>
      <c r="C700" s="57" t="s">
        <v>2</v>
      </c>
      <c r="D700" s="57" t="s">
        <v>2</v>
      </c>
      <c r="E700" s="5" t="s">
        <v>3</v>
      </c>
      <c r="F700" s="5" t="s">
        <v>4</v>
      </c>
      <c r="G700" s="89" t="s">
        <v>6</v>
      </c>
      <c r="H700" s="83" t="s">
        <v>7</v>
      </c>
      <c r="I700" s="83" t="s">
        <v>52</v>
      </c>
      <c r="J700" s="83" t="s">
        <v>53</v>
      </c>
      <c r="K700" s="5" t="s">
        <v>10</v>
      </c>
      <c r="L700" s="5" t="s">
        <v>11</v>
      </c>
    </row>
    <row r="701" spans="2:12" x14ac:dyDescent="0.2">
      <c r="B701" s="58"/>
      <c r="C701" s="59"/>
      <c r="D701" s="59"/>
      <c r="E701" s="13"/>
      <c r="F701" s="13"/>
      <c r="G701" s="24"/>
      <c r="H701" s="60"/>
      <c r="I701" s="61"/>
      <c r="J701" s="61"/>
      <c r="K701" s="61"/>
      <c r="L701" s="60">
        <f>L695</f>
        <v>60991.610000000015</v>
      </c>
    </row>
    <row r="702" spans="2:12" x14ac:dyDescent="0.2">
      <c r="B702" s="110">
        <v>43773</v>
      </c>
      <c r="C702" s="353" t="s">
        <v>706</v>
      </c>
      <c r="D702" s="11"/>
      <c r="E702" s="15"/>
      <c r="F702" s="15"/>
      <c r="G702" s="15" t="s">
        <v>405</v>
      </c>
      <c r="H702" s="112">
        <v>2116</v>
      </c>
      <c r="I702" s="12">
        <f>H702*0.32</f>
        <v>677.12</v>
      </c>
      <c r="J702" s="12">
        <f>H702*0.68</f>
        <v>1438.88</v>
      </c>
      <c r="K702" s="12"/>
      <c r="L702" s="63">
        <f>+J702-K702+L701</f>
        <v>62430.490000000013</v>
      </c>
    </row>
    <row r="703" spans="2:12" x14ac:dyDescent="0.2">
      <c r="B703" s="110">
        <v>43774</v>
      </c>
      <c r="C703" s="353" t="s">
        <v>706</v>
      </c>
      <c r="D703" s="11"/>
      <c r="E703" s="15"/>
      <c r="F703" s="15"/>
      <c r="G703" s="15" t="s">
        <v>405</v>
      </c>
      <c r="H703" s="112">
        <v>1520</v>
      </c>
      <c r="I703" s="12">
        <f t="shared" ref="I703:I733" si="35">H703*0.32</f>
        <v>486.40000000000003</v>
      </c>
      <c r="J703" s="12">
        <f t="shared" ref="J703:J733" si="36">H703*0.68</f>
        <v>1033.6000000000001</v>
      </c>
      <c r="K703" s="12"/>
      <c r="L703" s="63">
        <f t="shared" ref="L703:L752" si="37">+J703-K703+L702</f>
        <v>63464.090000000011</v>
      </c>
    </row>
    <row r="704" spans="2:12" x14ac:dyDescent="0.2">
      <c r="B704" s="110">
        <v>43775</v>
      </c>
      <c r="C704" s="353" t="s">
        <v>706</v>
      </c>
      <c r="D704" s="11"/>
      <c r="E704" s="15"/>
      <c r="F704" s="15"/>
      <c r="G704" s="15" t="s">
        <v>405</v>
      </c>
      <c r="H704" s="112">
        <v>800</v>
      </c>
      <c r="I704" s="12">
        <f t="shared" si="35"/>
        <v>256</v>
      </c>
      <c r="J704" s="12">
        <f t="shared" si="36"/>
        <v>544</v>
      </c>
      <c r="K704" s="12"/>
      <c r="L704" s="63">
        <f t="shared" si="37"/>
        <v>64008.090000000011</v>
      </c>
    </row>
    <row r="705" spans="2:12" x14ac:dyDescent="0.2">
      <c r="B705" s="110">
        <v>43776</v>
      </c>
      <c r="C705" s="353" t="s">
        <v>706</v>
      </c>
      <c r="D705" s="11"/>
      <c r="E705" s="15"/>
      <c r="F705" s="15"/>
      <c r="G705" s="15" t="s">
        <v>405</v>
      </c>
      <c r="H705" s="112">
        <v>144</v>
      </c>
      <c r="I705" s="12">
        <f t="shared" si="35"/>
        <v>46.08</v>
      </c>
      <c r="J705" s="12">
        <f t="shared" si="36"/>
        <v>97.92</v>
      </c>
      <c r="K705" s="12"/>
      <c r="L705" s="63">
        <f t="shared" si="37"/>
        <v>64106.010000000009</v>
      </c>
    </row>
    <row r="706" spans="2:12" x14ac:dyDescent="0.2">
      <c r="B706" s="110">
        <v>43780</v>
      </c>
      <c r="C706" s="353" t="s">
        <v>706</v>
      </c>
      <c r="D706" s="11"/>
      <c r="E706" s="15"/>
      <c r="F706" s="15"/>
      <c r="G706" s="15" t="s">
        <v>405</v>
      </c>
      <c r="H706" s="112">
        <f>378-70</f>
        <v>308</v>
      </c>
      <c r="I706" s="12">
        <f t="shared" si="35"/>
        <v>98.56</v>
      </c>
      <c r="J706" s="12">
        <f t="shared" si="36"/>
        <v>209.44000000000003</v>
      </c>
      <c r="K706" s="12"/>
      <c r="L706" s="63">
        <f t="shared" si="37"/>
        <v>64315.450000000012</v>
      </c>
    </row>
    <row r="707" spans="2:12" x14ac:dyDescent="0.2">
      <c r="B707" s="110">
        <v>43781</v>
      </c>
      <c r="C707" s="353" t="s">
        <v>706</v>
      </c>
      <c r="D707" s="11"/>
      <c r="E707" s="15"/>
      <c r="F707" s="15"/>
      <c r="G707" s="15" t="s">
        <v>405</v>
      </c>
      <c r="H707" s="112">
        <v>760</v>
      </c>
      <c r="I707" s="12">
        <f t="shared" si="35"/>
        <v>243.20000000000002</v>
      </c>
      <c r="J707" s="12">
        <f t="shared" si="36"/>
        <v>516.80000000000007</v>
      </c>
      <c r="K707" s="12"/>
      <c r="L707" s="63">
        <f t="shared" si="37"/>
        <v>64832.250000000015</v>
      </c>
    </row>
    <row r="708" spans="2:12" x14ac:dyDescent="0.2">
      <c r="B708" s="110">
        <v>43782</v>
      </c>
      <c r="C708" s="353" t="s">
        <v>706</v>
      </c>
      <c r="D708" s="11"/>
      <c r="E708" s="15"/>
      <c r="F708" s="15"/>
      <c r="G708" s="15" t="s">
        <v>405</v>
      </c>
      <c r="H708" s="112">
        <v>308</v>
      </c>
      <c r="I708" s="12">
        <f t="shared" si="35"/>
        <v>98.56</v>
      </c>
      <c r="J708" s="12">
        <f t="shared" si="36"/>
        <v>209.44000000000003</v>
      </c>
      <c r="K708" s="12"/>
      <c r="L708" s="63">
        <f t="shared" si="37"/>
        <v>65041.690000000017</v>
      </c>
    </row>
    <row r="709" spans="2:12" x14ac:dyDescent="0.2">
      <c r="B709" s="110">
        <v>43783</v>
      </c>
      <c r="C709" s="353" t="s">
        <v>706</v>
      </c>
      <c r="D709" s="77"/>
      <c r="E709" s="15"/>
      <c r="F709" s="15"/>
      <c r="G709" s="15" t="s">
        <v>405</v>
      </c>
      <c r="H709" s="112">
        <v>452</v>
      </c>
      <c r="I709" s="12">
        <f t="shared" si="35"/>
        <v>144.64000000000001</v>
      </c>
      <c r="J709" s="12">
        <f t="shared" si="36"/>
        <v>307.36</v>
      </c>
      <c r="K709" s="12"/>
      <c r="L709" s="63">
        <f t="shared" si="37"/>
        <v>65349.050000000017</v>
      </c>
    </row>
    <row r="710" spans="2:12" x14ac:dyDescent="0.2">
      <c r="B710" s="110">
        <v>43784</v>
      </c>
      <c r="C710" s="353" t="s">
        <v>706</v>
      </c>
      <c r="D710" s="11"/>
      <c r="E710" s="15"/>
      <c r="F710" s="15"/>
      <c r="G710" s="15" t="s">
        <v>405</v>
      </c>
      <c r="H710" s="112">
        <v>432</v>
      </c>
      <c r="I710" s="12">
        <f t="shared" si="35"/>
        <v>138.24</v>
      </c>
      <c r="J710" s="12">
        <f t="shared" si="36"/>
        <v>293.76000000000005</v>
      </c>
      <c r="K710" s="12"/>
      <c r="L710" s="63">
        <f t="shared" si="37"/>
        <v>65642.810000000012</v>
      </c>
    </row>
    <row r="711" spans="2:12" x14ac:dyDescent="0.2">
      <c r="B711" s="110">
        <v>43787</v>
      </c>
      <c r="C711" s="353" t="s">
        <v>706</v>
      </c>
      <c r="D711" s="11"/>
      <c r="E711" s="15"/>
      <c r="F711" s="15"/>
      <c r="G711" s="15" t="s">
        <v>405</v>
      </c>
      <c r="H711" s="112">
        <v>731</v>
      </c>
      <c r="I711" s="12">
        <f t="shared" si="35"/>
        <v>233.92000000000002</v>
      </c>
      <c r="J711" s="12">
        <f t="shared" si="36"/>
        <v>497.08000000000004</v>
      </c>
      <c r="K711" s="12"/>
      <c r="L711" s="63">
        <f t="shared" si="37"/>
        <v>66139.890000000014</v>
      </c>
    </row>
    <row r="712" spans="2:12" x14ac:dyDescent="0.2">
      <c r="B712" s="110">
        <v>43788</v>
      </c>
      <c r="C712" s="353" t="s">
        <v>706</v>
      </c>
      <c r="D712" s="11"/>
      <c r="E712" s="15"/>
      <c r="F712" s="15"/>
      <c r="G712" s="15" t="s">
        <v>405</v>
      </c>
      <c r="H712" s="112">
        <v>308</v>
      </c>
      <c r="I712" s="12">
        <f t="shared" si="35"/>
        <v>98.56</v>
      </c>
      <c r="J712" s="12">
        <f t="shared" si="36"/>
        <v>209.44000000000003</v>
      </c>
      <c r="K712" s="12"/>
      <c r="L712" s="63">
        <f t="shared" si="37"/>
        <v>66349.330000000016</v>
      </c>
    </row>
    <row r="713" spans="2:12" x14ac:dyDescent="0.2">
      <c r="B713" s="110">
        <v>43789</v>
      </c>
      <c r="C713" s="353" t="s">
        <v>707</v>
      </c>
      <c r="D713" s="65"/>
      <c r="E713" s="13"/>
      <c r="F713" s="15"/>
      <c r="G713" s="15" t="s">
        <v>407</v>
      </c>
      <c r="H713" s="112">
        <v>1176</v>
      </c>
      <c r="I713" s="12">
        <f t="shared" si="35"/>
        <v>376.32</v>
      </c>
      <c r="J713" s="12">
        <f t="shared" si="36"/>
        <v>799.68000000000006</v>
      </c>
      <c r="K713" s="12"/>
      <c r="L713" s="63">
        <f t="shared" si="37"/>
        <v>67149.010000000009</v>
      </c>
    </row>
    <row r="714" spans="2:12" x14ac:dyDescent="0.2">
      <c r="B714" s="110">
        <v>43790</v>
      </c>
      <c r="C714" s="353" t="s">
        <v>707</v>
      </c>
      <c r="D714" s="65"/>
      <c r="E714" s="13"/>
      <c r="F714" s="15"/>
      <c r="G714" s="15" t="s">
        <v>407</v>
      </c>
      <c r="H714" s="112">
        <v>1442</v>
      </c>
      <c r="I714" s="12">
        <f t="shared" si="35"/>
        <v>461.44</v>
      </c>
      <c r="J714" s="12">
        <f t="shared" si="36"/>
        <v>980.56000000000006</v>
      </c>
      <c r="K714" s="12"/>
      <c r="L714" s="63">
        <f t="shared" si="37"/>
        <v>68129.570000000007</v>
      </c>
    </row>
    <row r="715" spans="2:12" x14ac:dyDescent="0.2">
      <c r="B715" s="110">
        <v>43791</v>
      </c>
      <c r="C715" s="353" t="s">
        <v>707</v>
      </c>
      <c r="D715" s="65"/>
      <c r="E715" s="13"/>
      <c r="F715" s="15"/>
      <c r="G715" s="15" t="s">
        <v>407</v>
      </c>
      <c r="H715" s="112">
        <v>1693</v>
      </c>
      <c r="I715" s="12">
        <f t="shared" si="35"/>
        <v>541.76</v>
      </c>
      <c r="J715" s="12">
        <f t="shared" si="36"/>
        <v>1151.24</v>
      </c>
      <c r="K715" s="12"/>
      <c r="L715" s="63">
        <f t="shared" si="37"/>
        <v>69280.810000000012</v>
      </c>
    </row>
    <row r="716" spans="2:12" x14ac:dyDescent="0.2">
      <c r="B716" s="110">
        <v>43794</v>
      </c>
      <c r="C716" s="353" t="s">
        <v>707</v>
      </c>
      <c r="D716" s="65"/>
      <c r="E716" s="13"/>
      <c r="F716" s="15"/>
      <c r="G716" s="15" t="s">
        <v>407</v>
      </c>
      <c r="H716" s="112">
        <v>602</v>
      </c>
      <c r="I716" s="12">
        <f t="shared" si="35"/>
        <v>192.64000000000001</v>
      </c>
      <c r="J716" s="12">
        <f t="shared" si="36"/>
        <v>409.36</v>
      </c>
      <c r="K716" s="12"/>
      <c r="L716" s="63">
        <f t="shared" si="37"/>
        <v>69690.170000000013</v>
      </c>
    </row>
    <row r="717" spans="2:12" x14ac:dyDescent="0.2">
      <c r="B717" s="110">
        <v>43795</v>
      </c>
      <c r="C717" s="353" t="s">
        <v>707</v>
      </c>
      <c r="D717" s="65"/>
      <c r="E717" s="13"/>
      <c r="F717" s="15"/>
      <c r="G717" s="15" t="s">
        <v>407</v>
      </c>
      <c r="H717" s="112">
        <v>318</v>
      </c>
      <c r="I717" s="12">
        <f t="shared" si="35"/>
        <v>101.76</v>
      </c>
      <c r="J717" s="12">
        <f t="shared" si="36"/>
        <v>216.24</v>
      </c>
      <c r="K717" s="12"/>
      <c r="L717" s="63">
        <f t="shared" si="37"/>
        <v>69906.410000000018</v>
      </c>
    </row>
    <row r="718" spans="2:12" x14ac:dyDescent="0.2">
      <c r="B718" s="110">
        <v>43796</v>
      </c>
      <c r="C718" s="353" t="s">
        <v>707</v>
      </c>
      <c r="D718" s="65"/>
      <c r="E718" s="13"/>
      <c r="F718" s="15"/>
      <c r="G718" s="15" t="s">
        <v>407</v>
      </c>
      <c r="H718" s="112">
        <v>454</v>
      </c>
      <c r="I718" s="12">
        <f t="shared" si="35"/>
        <v>145.28</v>
      </c>
      <c r="J718" s="12">
        <f t="shared" si="36"/>
        <v>308.72000000000003</v>
      </c>
      <c r="K718" s="12"/>
      <c r="L718" s="63">
        <f t="shared" si="37"/>
        <v>70215.130000000019</v>
      </c>
    </row>
    <row r="719" spans="2:12" x14ac:dyDescent="0.2">
      <c r="B719" s="110">
        <v>43797</v>
      </c>
      <c r="C719" s="353" t="s">
        <v>707</v>
      </c>
      <c r="D719" s="65"/>
      <c r="E719" s="13"/>
      <c r="F719" s="15"/>
      <c r="G719" s="15" t="s">
        <v>407</v>
      </c>
      <c r="H719" s="112">
        <v>596</v>
      </c>
      <c r="I719" s="12">
        <f t="shared" si="35"/>
        <v>190.72</v>
      </c>
      <c r="J719" s="12">
        <f t="shared" si="36"/>
        <v>405.28000000000003</v>
      </c>
      <c r="K719" s="12"/>
      <c r="L719" s="63">
        <f t="shared" si="37"/>
        <v>70620.410000000018</v>
      </c>
    </row>
    <row r="720" spans="2:12" x14ac:dyDescent="0.2">
      <c r="B720" s="110">
        <v>43798</v>
      </c>
      <c r="C720" s="353" t="s">
        <v>707</v>
      </c>
      <c r="D720" s="65"/>
      <c r="E720" s="13"/>
      <c r="F720" s="15"/>
      <c r="G720" s="15" t="s">
        <v>407</v>
      </c>
      <c r="H720" s="112">
        <v>308</v>
      </c>
      <c r="I720" s="12">
        <f t="shared" si="35"/>
        <v>98.56</v>
      </c>
      <c r="J720" s="12">
        <f t="shared" si="36"/>
        <v>209.44000000000003</v>
      </c>
      <c r="K720" s="12"/>
      <c r="L720" s="63">
        <f t="shared" si="37"/>
        <v>70829.85000000002</v>
      </c>
    </row>
    <row r="721" spans="2:12" x14ac:dyDescent="0.2">
      <c r="B721" s="110">
        <v>43799</v>
      </c>
      <c r="C721" s="353" t="s">
        <v>707</v>
      </c>
      <c r="D721" s="65"/>
      <c r="E721" s="13"/>
      <c r="F721" s="15"/>
      <c r="G721" s="15" t="s">
        <v>407</v>
      </c>
      <c r="H721" s="112">
        <v>452</v>
      </c>
      <c r="I721" s="12">
        <f t="shared" si="35"/>
        <v>144.64000000000001</v>
      </c>
      <c r="J721" s="12">
        <f t="shared" si="36"/>
        <v>307.36</v>
      </c>
      <c r="K721" s="12"/>
      <c r="L721" s="63">
        <f t="shared" si="37"/>
        <v>71137.210000000021</v>
      </c>
    </row>
    <row r="722" spans="2:12" x14ac:dyDescent="0.2">
      <c r="B722" s="110">
        <v>43775</v>
      </c>
      <c r="C722" s="353"/>
      <c r="D722" s="65"/>
      <c r="E722" s="13"/>
      <c r="F722" s="15"/>
      <c r="G722" s="15"/>
      <c r="H722" s="112">
        <v>308</v>
      </c>
      <c r="I722" s="12">
        <f t="shared" si="35"/>
        <v>98.56</v>
      </c>
      <c r="J722" s="12">
        <f t="shared" si="36"/>
        <v>209.44000000000003</v>
      </c>
      <c r="K722" s="12"/>
      <c r="L722" s="63">
        <f t="shared" si="37"/>
        <v>71346.650000000023</v>
      </c>
    </row>
    <row r="723" spans="2:12" x14ac:dyDescent="0.2">
      <c r="B723" s="110">
        <v>43781</v>
      </c>
      <c r="C723" s="353"/>
      <c r="D723" s="65"/>
      <c r="E723" s="13"/>
      <c r="F723" s="15"/>
      <c r="G723" s="15"/>
      <c r="H723" s="112">
        <v>88</v>
      </c>
      <c r="I723" s="12">
        <f t="shared" si="35"/>
        <v>28.16</v>
      </c>
      <c r="J723" s="12">
        <f t="shared" si="36"/>
        <v>59.84</v>
      </c>
      <c r="K723" s="12"/>
      <c r="L723" s="63">
        <f t="shared" si="37"/>
        <v>71406.49000000002</v>
      </c>
    </row>
    <row r="724" spans="2:12" x14ac:dyDescent="0.2">
      <c r="B724" s="110">
        <v>43782</v>
      </c>
      <c r="C724" s="353"/>
      <c r="D724" s="65"/>
      <c r="E724" s="13"/>
      <c r="F724" s="15"/>
      <c r="G724" s="15"/>
      <c r="H724" s="112">
        <v>208</v>
      </c>
      <c r="I724" s="12">
        <f t="shared" si="35"/>
        <v>66.56</v>
      </c>
      <c r="J724" s="12">
        <f t="shared" si="36"/>
        <v>141.44</v>
      </c>
      <c r="K724" s="12"/>
      <c r="L724" s="63">
        <f t="shared" si="37"/>
        <v>71547.930000000022</v>
      </c>
    </row>
    <row r="725" spans="2:12" x14ac:dyDescent="0.2">
      <c r="B725" s="110">
        <v>43788</v>
      </c>
      <c r="C725" s="353"/>
      <c r="D725" s="65"/>
      <c r="E725" s="13"/>
      <c r="F725" s="15"/>
      <c r="G725" s="15"/>
      <c r="H725" s="112">
        <v>238</v>
      </c>
      <c r="I725" s="12">
        <f t="shared" si="35"/>
        <v>76.16</v>
      </c>
      <c r="J725" s="12">
        <f t="shared" si="36"/>
        <v>161.84</v>
      </c>
      <c r="K725" s="12"/>
      <c r="L725" s="63">
        <f t="shared" si="37"/>
        <v>71709.770000000019</v>
      </c>
    </row>
    <row r="726" spans="2:12" x14ac:dyDescent="0.2">
      <c r="B726" s="110">
        <v>43789</v>
      </c>
      <c r="C726" s="353"/>
      <c r="D726" s="65"/>
      <c r="E726" s="13"/>
      <c r="F726" s="15"/>
      <c r="G726" s="15"/>
      <c r="H726" s="112">
        <v>428</v>
      </c>
      <c r="I726" s="12">
        <f t="shared" si="35"/>
        <v>136.96</v>
      </c>
      <c r="J726" s="12">
        <f t="shared" si="36"/>
        <v>291.04000000000002</v>
      </c>
      <c r="K726" s="12"/>
      <c r="L726" s="63">
        <f t="shared" si="37"/>
        <v>72000.810000000012</v>
      </c>
    </row>
    <row r="727" spans="2:12" x14ac:dyDescent="0.2">
      <c r="B727" s="110">
        <v>43791</v>
      </c>
      <c r="C727" s="353"/>
      <c r="D727" s="65"/>
      <c r="E727" s="13"/>
      <c r="F727" s="15"/>
      <c r="G727" s="15"/>
      <c r="H727" s="112">
        <v>150</v>
      </c>
      <c r="I727" s="12">
        <f t="shared" si="35"/>
        <v>48</v>
      </c>
      <c r="J727" s="12">
        <f t="shared" si="36"/>
        <v>102.00000000000001</v>
      </c>
      <c r="K727" s="12"/>
      <c r="L727" s="63">
        <f t="shared" si="37"/>
        <v>72102.810000000012</v>
      </c>
    </row>
    <row r="728" spans="2:12" x14ac:dyDescent="0.2">
      <c r="B728" s="110">
        <v>43795</v>
      </c>
      <c r="C728" s="353"/>
      <c r="D728" s="65"/>
      <c r="E728" s="13"/>
      <c r="F728" s="15"/>
      <c r="G728" s="15"/>
      <c r="H728" s="112">
        <v>736</v>
      </c>
      <c r="I728" s="12">
        <f t="shared" si="35"/>
        <v>235.52</v>
      </c>
      <c r="J728" s="12">
        <f t="shared" si="36"/>
        <v>500.48</v>
      </c>
      <c r="K728" s="12"/>
      <c r="L728" s="63">
        <f t="shared" si="37"/>
        <v>72603.290000000008</v>
      </c>
    </row>
    <row r="729" spans="2:12" x14ac:dyDescent="0.2">
      <c r="B729" s="110">
        <v>43796</v>
      </c>
      <c r="C729" s="353"/>
      <c r="D729" s="65"/>
      <c r="E729" s="13"/>
      <c r="F729" s="15"/>
      <c r="G729" s="15"/>
      <c r="H729" s="112">
        <v>158</v>
      </c>
      <c r="I729" s="12">
        <f t="shared" si="35"/>
        <v>50.56</v>
      </c>
      <c r="J729" s="12">
        <f t="shared" si="36"/>
        <v>107.44000000000001</v>
      </c>
      <c r="K729" s="12"/>
      <c r="L729" s="63">
        <f t="shared" si="37"/>
        <v>72710.73000000001</v>
      </c>
    </row>
    <row r="730" spans="2:12" x14ac:dyDescent="0.2">
      <c r="B730" s="110">
        <v>43797</v>
      </c>
      <c r="C730" s="353"/>
      <c r="D730" s="65"/>
      <c r="E730" s="13"/>
      <c r="F730" s="15"/>
      <c r="G730" s="15"/>
      <c r="H730" s="112">
        <v>780</v>
      </c>
      <c r="I730" s="12">
        <f t="shared" si="35"/>
        <v>249.6</v>
      </c>
      <c r="J730" s="12">
        <f t="shared" si="36"/>
        <v>530.40000000000009</v>
      </c>
      <c r="K730" s="12"/>
      <c r="L730" s="63">
        <f t="shared" si="37"/>
        <v>73241.13</v>
      </c>
    </row>
    <row r="731" spans="2:12" x14ac:dyDescent="0.2">
      <c r="B731" s="110">
        <v>43798</v>
      </c>
      <c r="C731" s="353"/>
      <c r="D731" s="65"/>
      <c r="E731" s="13"/>
      <c r="F731" s="15"/>
      <c r="G731" s="15"/>
      <c r="H731" s="112">
        <v>334</v>
      </c>
      <c r="I731" s="12">
        <f t="shared" si="35"/>
        <v>106.88</v>
      </c>
      <c r="J731" s="12">
        <f t="shared" si="36"/>
        <v>227.12</v>
      </c>
      <c r="K731" s="12"/>
      <c r="L731" s="63">
        <f t="shared" si="37"/>
        <v>73468.25</v>
      </c>
    </row>
    <row r="732" spans="2:12" x14ac:dyDescent="0.2">
      <c r="B732" s="110">
        <v>43799</v>
      </c>
      <c r="C732" s="353"/>
      <c r="D732" s="65"/>
      <c r="E732" s="13"/>
      <c r="F732" s="15"/>
      <c r="G732" s="15"/>
      <c r="H732" s="112">
        <v>278</v>
      </c>
      <c r="I732" s="12">
        <f t="shared" si="35"/>
        <v>88.960000000000008</v>
      </c>
      <c r="J732" s="12">
        <f t="shared" si="36"/>
        <v>189.04000000000002</v>
      </c>
      <c r="K732" s="12"/>
      <c r="L732" s="63">
        <f t="shared" si="37"/>
        <v>73657.289999999994</v>
      </c>
    </row>
    <row r="733" spans="2:12" x14ac:dyDescent="0.2">
      <c r="B733" s="110"/>
      <c r="C733" s="353"/>
      <c r="D733" s="65"/>
      <c r="E733" s="13"/>
      <c r="F733" s="15"/>
      <c r="G733" s="15"/>
      <c r="H733" s="112"/>
      <c r="I733" s="12">
        <f t="shared" si="35"/>
        <v>0</v>
      </c>
      <c r="J733" s="12">
        <f t="shared" si="36"/>
        <v>0</v>
      </c>
      <c r="K733" s="12"/>
      <c r="L733" s="63">
        <f t="shared" si="37"/>
        <v>73657.289999999994</v>
      </c>
    </row>
    <row r="734" spans="2:12" x14ac:dyDescent="0.2">
      <c r="B734" s="110"/>
      <c r="C734" s="65"/>
      <c r="D734" s="65"/>
      <c r="E734" s="13"/>
      <c r="F734" s="15"/>
      <c r="G734" s="66"/>
      <c r="H734" s="112"/>
      <c r="I734" s="12"/>
      <c r="J734" s="12"/>
      <c r="K734" s="12"/>
      <c r="L734" s="63">
        <f t="shared" si="37"/>
        <v>73657.289999999994</v>
      </c>
    </row>
    <row r="735" spans="2:12" x14ac:dyDescent="0.2">
      <c r="B735" s="547" t="s">
        <v>256</v>
      </c>
      <c r="C735" s="548"/>
      <c r="D735" s="548"/>
      <c r="E735" s="548"/>
      <c r="F735" s="548"/>
      <c r="G735" s="548"/>
      <c r="H735" s="548"/>
      <c r="I735" s="548"/>
      <c r="J735" s="548"/>
      <c r="K735" s="548"/>
      <c r="L735" s="63">
        <f t="shared" si="37"/>
        <v>73657.289999999994</v>
      </c>
    </row>
    <row r="736" spans="2:12" x14ac:dyDescent="0.2">
      <c r="B736" s="552" t="s">
        <v>56</v>
      </c>
      <c r="C736" s="553"/>
      <c r="D736" s="554" t="s">
        <v>51</v>
      </c>
      <c r="E736" s="554"/>
      <c r="F736" s="554"/>
      <c r="G736" s="94"/>
      <c r="H736" s="95"/>
      <c r="I736" s="96"/>
      <c r="J736" s="96"/>
      <c r="K736" s="97"/>
      <c r="L736" s="63">
        <f t="shared" si="37"/>
        <v>73657.289999999994</v>
      </c>
    </row>
    <row r="737" spans="2:12" x14ac:dyDescent="0.2">
      <c r="B737" s="91" t="s">
        <v>1</v>
      </c>
      <c r="C737" s="92" t="s">
        <v>57</v>
      </c>
      <c r="D737" s="92" t="s">
        <v>2</v>
      </c>
      <c r="E737" s="402" t="s">
        <v>3</v>
      </c>
      <c r="F737" s="402" t="s">
        <v>4</v>
      </c>
      <c r="G737" s="561" t="s">
        <v>58</v>
      </c>
      <c r="H737" s="562"/>
      <c r="I737" s="562"/>
      <c r="J737" s="563"/>
      <c r="K737" s="90"/>
      <c r="L737" s="63">
        <f t="shared" si="37"/>
        <v>73657.289999999994</v>
      </c>
    </row>
    <row r="738" spans="2:12" ht="45" customHeight="1" x14ac:dyDescent="0.2">
      <c r="B738" s="10">
        <v>43789</v>
      </c>
      <c r="C738" s="77" t="s">
        <v>692</v>
      </c>
      <c r="D738" s="77"/>
      <c r="E738" s="3"/>
      <c r="F738" s="16"/>
      <c r="G738" s="588" t="s">
        <v>693</v>
      </c>
      <c r="H738" s="589"/>
      <c r="I738" s="590"/>
      <c r="J738" s="349"/>
      <c r="K738" s="70"/>
      <c r="L738" s="63">
        <f t="shared" si="37"/>
        <v>73657.289999999994</v>
      </c>
    </row>
    <row r="739" spans="2:12" x14ac:dyDescent="0.2">
      <c r="B739" s="10"/>
      <c r="C739" s="77"/>
      <c r="D739" s="77"/>
      <c r="E739" s="3"/>
      <c r="F739" s="16"/>
      <c r="G739" s="571" t="s">
        <v>577</v>
      </c>
      <c r="H739" s="572"/>
      <c r="I739" s="573"/>
      <c r="J739" s="349"/>
      <c r="K739" s="70">
        <v>1700</v>
      </c>
      <c r="L739" s="63">
        <f t="shared" si="37"/>
        <v>71957.289999999994</v>
      </c>
    </row>
    <row r="740" spans="2:12" x14ac:dyDescent="0.2">
      <c r="B740" s="10"/>
      <c r="C740" s="77"/>
      <c r="D740" s="77"/>
      <c r="E740" s="3"/>
      <c r="F740" s="16"/>
      <c r="G740" s="571" t="s">
        <v>578</v>
      </c>
      <c r="H740" s="572"/>
      <c r="I740" s="573"/>
      <c r="J740" s="349"/>
      <c r="K740" s="70">
        <v>950</v>
      </c>
      <c r="L740" s="63">
        <f t="shared" si="37"/>
        <v>71007.289999999994</v>
      </c>
    </row>
    <row r="741" spans="2:12" x14ac:dyDescent="0.2">
      <c r="B741" s="10"/>
      <c r="C741" s="77"/>
      <c r="D741" s="77"/>
      <c r="E741" s="3"/>
      <c r="F741" s="16"/>
      <c r="G741" s="571" t="s">
        <v>579</v>
      </c>
      <c r="H741" s="572"/>
      <c r="I741" s="573"/>
      <c r="J741" s="349"/>
      <c r="K741" s="70">
        <v>850</v>
      </c>
      <c r="L741" s="63">
        <f t="shared" si="37"/>
        <v>70157.289999999994</v>
      </c>
    </row>
    <row r="742" spans="2:12" ht="46.5" customHeight="1" x14ac:dyDescent="0.2">
      <c r="B742" s="10">
        <v>43789</v>
      </c>
      <c r="C742" s="77" t="s">
        <v>694</v>
      </c>
      <c r="D742" s="77"/>
      <c r="E742" s="3"/>
      <c r="F742" s="16"/>
      <c r="G742" s="571" t="s">
        <v>695</v>
      </c>
      <c r="H742" s="572"/>
      <c r="I742" s="573"/>
      <c r="J742" s="349"/>
      <c r="K742" s="70">
        <v>1040</v>
      </c>
      <c r="L742" s="63">
        <f t="shared" si="37"/>
        <v>69117.289999999994</v>
      </c>
    </row>
    <row r="743" spans="2:12" ht="49.5" customHeight="1" x14ac:dyDescent="0.2">
      <c r="B743" s="10">
        <v>43790</v>
      </c>
      <c r="C743" s="77" t="s">
        <v>696</v>
      </c>
      <c r="D743" s="77"/>
      <c r="E743" s="3"/>
      <c r="F743" s="16"/>
      <c r="G743" s="571" t="s">
        <v>697</v>
      </c>
      <c r="H743" s="572"/>
      <c r="I743" s="573"/>
      <c r="J743" s="349"/>
      <c r="K743" s="70">
        <v>1040</v>
      </c>
      <c r="L743" s="63">
        <f t="shared" si="37"/>
        <v>68077.289999999994</v>
      </c>
    </row>
    <row r="744" spans="2:12" ht="39.75" customHeight="1" x14ac:dyDescent="0.2">
      <c r="B744" s="10"/>
      <c r="C744" s="77"/>
      <c r="D744" s="77"/>
      <c r="E744" s="3"/>
      <c r="F744" s="16"/>
      <c r="G744" s="571" t="s">
        <v>698</v>
      </c>
      <c r="H744" s="572"/>
      <c r="I744" s="573"/>
      <c r="J744" s="349"/>
      <c r="K744" s="70">
        <v>1040</v>
      </c>
      <c r="L744" s="63">
        <f t="shared" si="37"/>
        <v>67037.289999999994</v>
      </c>
    </row>
    <row r="745" spans="2:12" ht="48" customHeight="1" x14ac:dyDescent="0.2">
      <c r="B745" s="10"/>
      <c r="C745" s="77"/>
      <c r="D745" s="77"/>
      <c r="E745" s="3"/>
      <c r="F745" s="16"/>
      <c r="G745" s="571" t="s">
        <v>699</v>
      </c>
      <c r="H745" s="572"/>
      <c r="I745" s="573"/>
      <c r="J745" s="349"/>
      <c r="K745" s="70">
        <v>1040</v>
      </c>
      <c r="L745" s="63">
        <f t="shared" si="37"/>
        <v>65997.289999999994</v>
      </c>
    </row>
    <row r="746" spans="2:12" ht="44.25" customHeight="1" x14ac:dyDescent="0.2">
      <c r="B746" s="10"/>
      <c r="C746" s="77"/>
      <c r="D746" s="77"/>
      <c r="E746" s="3"/>
      <c r="F746" s="16"/>
      <c r="G746" s="571" t="s">
        <v>700</v>
      </c>
      <c r="H746" s="572"/>
      <c r="I746" s="573"/>
      <c r="J746" s="349"/>
      <c r="K746" s="70">
        <v>1040</v>
      </c>
      <c r="L746" s="63">
        <f t="shared" si="37"/>
        <v>64957.289999999994</v>
      </c>
    </row>
    <row r="747" spans="2:12" ht="44.25" customHeight="1" x14ac:dyDescent="0.2">
      <c r="B747" s="10">
        <v>43790</v>
      </c>
      <c r="C747" s="77" t="s">
        <v>701</v>
      </c>
      <c r="D747" s="77"/>
      <c r="E747" s="3"/>
      <c r="F747" s="16"/>
      <c r="G747" s="571" t="s">
        <v>702</v>
      </c>
      <c r="H747" s="572"/>
      <c r="I747" s="573"/>
      <c r="J747" s="349"/>
      <c r="K747" s="70"/>
      <c r="L747" s="63">
        <f t="shared" si="37"/>
        <v>64957.289999999994</v>
      </c>
    </row>
    <row r="748" spans="2:12" ht="15" customHeight="1" x14ac:dyDescent="0.2">
      <c r="B748" s="10"/>
      <c r="C748" s="77"/>
      <c r="D748" s="77"/>
      <c r="E748" s="3"/>
      <c r="F748" s="16"/>
      <c r="G748" s="375"/>
      <c r="H748" s="568" t="s">
        <v>243</v>
      </c>
      <c r="I748" s="570"/>
      <c r="J748" s="349"/>
      <c r="K748" s="70">
        <v>774.64</v>
      </c>
      <c r="L748" s="63">
        <f t="shared" si="37"/>
        <v>64182.649999999994</v>
      </c>
    </row>
    <row r="749" spans="2:12" x14ac:dyDescent="0.2">
      <c r="B749" s="10"/>
      <c r="C749" s="77"/>
      <c r="D749" s="77"/>
      <c r="E749" s="3"/>
      <c r="F749" s="16"/>
      <c r="G749" s="375"/>
      <c r="H749" s="568" t="s">
        <v>249</v>
      </c>
      <c r="I749" s="570"/>
      <c r="J749" s="349"/>
      <c r="K749" s="70">
        <v>1032.8499999999999</v>
      </c>
      <c r="L749" s="63">
        <f t="shared" si="37"/>
        <v>63149.799999999996</v>
      </c>
    </row>
    <row r="750" spans="2:12" x14ac:dyDescent="0.2">
      <c r="B750" s="10"/>
      <c r="C750" s="77"/>
      <c r="D750" s="77"/>
      <c r="E750" s="3"/>
      <c r="F750" s="16"/>
      <c r="G750" s="375"/>
      <c r="H750" s="568" t="s">
        <v>64</v>
      </c>
      <c r="I750" s="570"/>
      <c r="J750" s="349"/>
      <c r="K750" s="70">
        <v>387.32</v>
      </c>
      <c r="L750" s="63">
        <f t="shared" si="37"/>
        <v>62762.479999999996</v>
      </c>
    </row>
    <row r="751" spans="2:12" x14ac:dyDescent="0.2">
      <c r="B751" s="10"/>
      <c r="C751" s="77"/>
      <c r="D751" s="77"/>
      <c r="E751" s="3"/>
      <c r="F751" s="16"/>
      <c r="G751" s="375"/>
      <c r="H751" s="568" t="s">
        <v>65</v>
      </c>
      <c r="I751" s="570"/>
      <c r="J751" s="349"/>
      <c r="K751" s="70">
        <v>387.32</v>
      </c>
      <c r="L751" s="63">
        <f t="shared" si="37"/>
        <v>62375.159999999996</v>
      </c>
    </row>
    <row r="752" spans="2:12" x14ac:dyDescent="0.2">
      <c r="B752" s="10"/>
      <c r="C752" s="77"/>
      <c r="D752" s="77"/>
      <c r="E752" s="3"/>
      <c r="F752" s="16"/>
      <c r="G752" s="375"/>
      <c r="H752" s="376"/>
      <c r="I752" s="399"/>
      <c r="J752" s="349"/>
      <c r="K752" s="70"/>
      <c r="L752" s="63">
        <f t="shared" si="37"/>
        <v>62375.159999999996</v>
      </c>
    </row>
    <row r="753" spans="2:12" ht="12.75" thickBot="1" x14ac:dyDescent="0.25">
      <c r="B753" s="64"/>
      <c r="C753" s="65"/>
      <c r="D753" s="65"/>
      <c r="E753" s="13"/>
      <c r="F753" s="13"/>
      <c r="G753" s="104"/>
      <c r="H753" s="84"/>
      <c r="I753" s="12"/>
      <c r="J753" s="12"/>
      <c r="K753" s="12"/>
      <c r="L753" s="63"/>
    </row>
    <row r="754" spans="2:12" x14ac:dyDescent="0.2">
      <c r="B754" s="56"/>
      <c r="C754" s="57"/>
      <c r="D754" s="57"/>
      <c r="E754" s="5"/>
      <c r="F754" s="5"/>
      <c r="G754" s="85" t="s">
        <v>26</v>
      </c>
      <c r="H754" s="107">
        <f>SUM(H702:H733)</f>
        <v>18626</v>
      </c>
      <c r="I754" s="105">
        <f>SUM(I702:I733)</f>
        <v>5960.3200000000024</v>
      </c>
      <c r="J754" s="106">
        <f>SUM(J702:J733)</f>
        <v>12665.680000000006</v>
      </c>
      <c r="K754" s="106">
        <f>SUM(K738:K751)</f>
        <v>11282.13</v>
      </c>
      <c r="L754" s="108"/>
    </row>
    <row r="755" spans="2:12" ht="12.75" thickBot="1" x14ac:dyDescent="0.25">
      <c r="B755" s="71"/>
      <c r="C755" s="72"/>
      <c r="D755" s="72"/>
      <c r="E755" s="73"/>
      <c r="F755" s="73"/>
      <c r="G755" s="86" t="s">
        <v>13</v>
      </c>
      <c r="H755" s="100"/>
      <c r="I755" s="99"/>
      <c r="J755" s="87"/>
      <c r="K755" s="87"/>
      <c r="L755" s="88">
        <f>+J754-K754+L701</f>
        <v>62375.160000000018</v>
      </c>
    </row>
    <row r="756" spans="2:12" x14ac:dyDescent="0.2">
      <c r="B756" s="25"/>
      <c r="H756" s="74"/>
      <c r="I756" s="25"/>
      <c r="L756" s="25"/>
    </row>
    <row r="757" spans="2:12" x14ac:dyDescent="0.2">
      <c r="B757" s="544" t="s">
        <v>48</v>
      </c>
      <c r="C757" s="545"/>
      <c r="D757" s="545"/>
      <c r="E757" s="545"/>
      <c r="F757" s="545"/>
      <c r="G757" s="545"/>
      <c r="H757" s="545"/>
      <c r="I757" s="545"/>
      <c r="J757" s="545"/>
      <c r="K757" s="545"/>
      <c r="L757" s="546"/>
    </row>
    <row r="758" spans="2:12" x14ac:dyDescent="0.2">
      <c r="B758" s="547" t="s">
        <v>703</v>
      </c>
      <c r="C758" s="548"/>
      <c r="D758" s="548"/>
      <c r="E758" s="548"/>
      <c r="F758" s="548"/>
      <c r="G758" s="548"/>
      <c r="H758" s="548"/>
      <c r="I758" s="548"/>
      <c r="J758" s="548"/>
      <c r="K758" s="548"/>
      <c r="L758" s="549"/>
    </row>
    <row r="759" spans="2:12" x14ac:dyDescent="0.2">
      <c r="B759" s="550" t="s">
        <v>50</v>
      </c>
      <c r="C759" s="550"/>
      <c r="D759" s="551" t="s">
        <v>51</v>
      </c>
      <c r="E759" s="551"/>
      <c r="F759" s="551"/>
      <c r="G759" s="400"/>
      <c r="H759" s="400"/>
      <c r="I759" s="400"/>
      <c r="J759" s="400"/>
      <c r="K759" s="400"/>
      <c r="L759" s="401"/>
    </row>
    <row r="760" spans="2:12" ht="24" x14ac:dyDescent="0.2">
      <c r="B760" s="56" t="s">
        <v>1</v>
      </c>
      <c r="C760" s="57" t="s">
        <v>2</v>
      </c>
      <c r="D760" s="57" t="s">
        <v>2</v>
      </c>
      <c r="E760" s="5" t="s">
        <v>3</v>
      </c>
      <c r="F760" s="5" t="s">
        <v>4</v>
      </c>
      <c r="G760" s="89" t="s">
        <v>6</v>
      </c>
      <c r="H760" s="83" t="s">
        <v>7</v>
      </c>
      <c r="I760" s="83" t="s">
        <v>52</v>
      </c>
      <c r="J760" s="83" t="s">
        <v>53</v>
      </c>
      <c r="K760" s="5" t="s">
        <v>10</v>
      </c>
      <c r="L760" s="5" t="s">
        <v>11</v>
      </c>
    </row>
    <row r="761" spans="2:12" x14ac:dyDescent="0.2">
      <c r="B761" s="58"/>
      <c r="C761" s="59"/>
      <c r="D761" s="59"/>
      <c r="E761" s="13"/>
      <c r="F761" s="13"/>
      <c r="G761" s="24"/>
      <c r="H761" s="60"/>
      <c r="I761" s="61"/>
      <c r="J761" s="61"/>
      <c r="K761" s="61"/>
      <c r="L761" s="60">
        <f>L755</f>
        <v>62375.160000000018</v>
      </c>
    </row>
    <row r="762" spans="2:12" x14ac:dyDescent="0.2">
      <c r="B762" s="110">
        <v>43801</v>
      </c>
      <c r="C762" s="353" t="s">
        <v>710</v>
      </c>
      <c r="D762" s="11"/>
      <c r="E762" s="15"/>
      <c r="F762" s="394" t="s">
        <v>433</v>
      </c>
      <c r="G762" s="15"/>
      <c r="H762" s="112">
        <v>452</v>
      </c>
      <c r="I762" s="12">
        <f>H762*0.32</f>
        <v>144.64000000000001</v>
      </c>
      <c r="J762" s="12">
        <f>H762*0.68</f>
        <v>307.36</v>
      </c>
      <c r="K762" s="12"/>
      <c r="L762" s="63">
        <f>+J762-K762+L761</f>
        <v>62682.520000000019</v>
      </c>
    </row>
    <row r="763" spans="2:12" x14ac:dyDescent="0.2">
      <c r="B763" s="110">
        <v>43802</v>
      </c>
      <c r="C763" s="353" t="s">
        <v>710</v>
      </c>
      <c r="D763" s="11"/>
      <c r="E763" s="15"/>
      <c r="F763" s="15" t="s">
        <v>433</v>
      </c>
      <c r="G763" s="15"/>
      <c r="H763" s="112">
        <v>616</v>
      </c>
      <c r="I763" s="12">
        <f t="shared" ref="I763:I806" si="38">H763*0.32</f>
        <v>197.12</v>
      </c>
      <c r="J763" s="12">
        <f t="shared" ref="J763:J806" si="39">H763*0.68</f>
        <v>418.88000000000005</v>
      </c>
      <c r="K763" s="12"/>
      <c r="L763" s="63">
        <f t="shared" ref="L763:L772" si="40">+J763-K763+L762</f>
        <v>63101.400000000016</v>
      </c>
    </row>
    <row r="764" spans="2:12" x14ac:dyDescent="0.2">
      <c r="B764" s="110">
        <v>43803</v>
      </c>
      <c r="C764" s="353" t="s">
        <v>710</v>
      </c>
      <c r="D764" s="11"/>
      <c r="E764" s="15"/>
      <c r="F764" s="15" t="s">
        <v>433</v>
      </c>
      <c r="G764" s="15"/>
      <c r="H764" s="112">
        <v>194</v>
      </c>
      <c r="I764" s="12">
        <f t="shared" si="38"/>
        <v>62.08</v>
      </c>
      <c r="J764" s="12">
        <f t="shared" si="39"/>
        <v>131.92000000000002</v>
      </c>
      <c r="K764" s="12"/>
      <c r="L764" s="63">
        <f t="shared" si="40"/>
        <v>63233.320000000014</v>
      </c>
    </row>
    <row r="765" spans="2:12" x14ac:dyDescent="0.2">
      <c r="B765" s="110">
        <v>43804</v>
      </c>
      <c r="C765" s="353" t="s">
        <v>710</v>
      </c>
      <c r="D765" s="11"/>
      <c r="E765" s="15"/>
      <c r="F765" s="15" t="s">
        <v>433</v>
      </c>
      <c r="G765" s="15"/>
      <c r="H765" s="112">
        <v>858</v>
      </c>
      <c r="I765" s="12">
        <f t="shared" si="38"/>
        <v>274.56</v>
      </c>
      <c r="J765" s="12">
        <f t="shared" si="39"/>
        <v>583.44000000000005</v>
      </c>
      <c r="K765" s="12"/>
      <c r="L765" s="63">
        <f t="shared" si="40"/>
        <v>63816.760000000017</v>
      </c>
    </row>
    <row r="766" spans="2:12" x14ac:dyDescent="0.2">
      <c r="B766" s="110">
        <v>43805</v>
      </c>
      <c r="C766" s="353" t="s">
        <v>710</v>
      </c>
      <c r="D766" s="11"/>
      <c r="E766" s="15"/>
      <c r="F766" s="15" t="s">
        <v>433</v>
      </c>
      <c r="G766" s="15"/>
      <c r="H766" s="112">
        <f>684-144</f>
        <v>540</v>
      </c>
      <c r="I766" s="12">
        <f t="shared" si="38"/>
        <v>172.8</v>
      </c>
      <c r="J766" s="12">
        <f t="shared" si="39"/>
        <v>367.20000000000005</v>
      </c>
      <c r="K766" s="12"/>
      <c r="L766" s="63">
        <f t="shared" si="40"/>
        <v>64183.960000000014</v>
      </c>
    </row>
    <row r="767" spans="2:12" x14ac:dyDescent="0.2">
      <c r="B767" s="110">
        <v>43806</v>
      </c>
      <c r="C767" s="353" t="s">
        <v>710</v>
      </c>
      <c r="D767" s="11"/>
      <c r="E767" s="15"/>
      <c r="F767" s="15" t="s">
        <v>433</v>
      </c>
      <c r="G767" s="15"/>
      <c r="H767" s="112">
        <v>596</v>
      </c>
      <c r="I767" s="12">
        <f t="shared" si="38"/>
        <v>190.72</v>
      </c>
      <c r="J767" s="12">
        <f t="shared" si="39"/>
        <v>405.28000000000003</v>
      </c>
      <c r="K767" s="12"/>
      <c r="L767" s="63">
        <f t="shared" si="40"/>
        <v>64589.240000000013</v>
      </c>
    </row>
    <row r="768" spans="2:12" x14ac:dyDescent="0.2">
      <c r="B768" s="110">
        <v>43808</v>
      </c>
      <c r="C768" s="353" t="s">
        <v>710</v>
      </c>
      <c r="D768" s="11"/>
      <c r="E768" s="15"/>
      <c r="F768" s="15" t="s">
        <v>433</v>
      </c>
      <c r="G768" s="15"/>
      <c r="H768" s="112">
        <v>2548</v>
      </c>
      <c r="I768" s="12">
        <f t="shared" si="38"/>
        <v>815.36</v>
      </c>
      <c r="J768" s="12">
        <f t="shared" si="39"/>
        <v>1732.64</v>
      </c>
      <c r="K768" s="12"/>
      <c r="L768" s="63">
        <f t="shared" si="40"/>
        <v>66321.880000000019</v>
      </c>
    </row>
    <row r="769" spans="2:12" x14ac:dyDescent="0.2">
      <c r="B769" s="110">
        <v>43809</v>
      </c>
      <c r="C769" s="353" t="s">
        <v>710</v>
      </c>
      <c r="D769" s="77"/>
      <c r="E769" s="15"/>
      <c r="F769" s="15" t="s">
        <v>433</v>
      </c>
      <c r="G769" s="15"/>
      <c r="H769" s="112">
        <v>1992</v>
      </c>
      <c r="I769" s="12">
        <f t="shared" si="38"/>
        <v>637.44000000000005</v>
      </c>
      <c r="J769" s="12">
        <f t="shared" si="39"/>
        <v>1354.5600000000002</v>
      </c>
      <c r="K769" s="12"/>
      <c r="L769" s="63">
        <f t="shared" si="40"/>
        <v>67676.440000000017</v>
      </c>
    </row>
    <row r="770" spans="2:12" x14ac:dyDescent="0.2">
      <c r="B770" s="110">
        <v>43810</v>
      </c>
      <c r="C770" s="353" t="s">
        <v>710</v>
      </c>
      <c r="D770" s="11"/>
      <c r="E770" s="15"/>
      <c r="F770" s="15" t="s">
        <v>433</v>
      </c>
      <c r="G770" s="15"/>
      <c r="H770" s="112">
        <v>734</v>
      </c>
      <c r="I770" s="12">
        <f t="shared" si="38"/>
        <v>234.88</v>
      </c>
      <c r="J770" s="12">
        <f t="shared" si="39"/>
        <v>499.12000000000006</v>
      </c>
      <c r="K770" s="12"/>
      <c r="L770" s="63">
        <f t="shared" si="40"/>
        <v>68175.560000000012</v>
      </c>
    </row>
    <row r="771" spans="2:12" x14ac:dyDescent="0.2">
      <c r="B771" s="110">
        <v>43811</v>
      </c>
      <c r="C771" s="353" t="s">
        <v>710</v>
      </c>
      <c r="D771" s="11"/>
      <c r="E771" s="15"/>
      <c r="F771" s="15" t="s">
        <v>433</v>
      </c>
      <c r="G771" s="15"/>
      <c r="H771" s="112">
        <v>1002</v>
      </c>
      <c r="I771" s="12">
        <f t="shared" si="38"/>
        <v>320.64</v>
      </c>
      <c r="J771" s="12">
        <f t="shared" si="39"/>
        <v>681.36</v>
      </c>
      <c r="K771" s="12"/>
      <c r="L771" s="63">
        <f t="shared" si="40"/>
        <v>68856.920000000013</v>
      </c>
    </row>
    <row r="772" spans="2:12" x14ac:dyDescent="0.2">
      <c r="B772" s="110">
        <v>43812</v>
      </c>
      <c r="C772" s="353" t="s">
        <v>710</v>
      </c>
      <c r="D772" s="11"/>
      <c r="E772" s="15"/>
      <c r="F772" s="15" t="s">
        <v>433</v>
      </c>
      <c r="G772" s="15"/>
      <c r="H772" s="112">
        <f>864-288</f>
        <v>576</v>
      </c>
      <c r="I772" s="12">
        <f t="shared" si="38"/>
        <v>184.32</v>
      </c>
      <c r="J772" s="12">
        <f t="shared" si="39"/>
        <v>391.68</v>
      </c>
      <c r="K772" s="12"/>
      <c r="L772" s="63">
        <f t="shared" si="40"/>
        <v>69248.600000000006</v>
      </c>
    </row>
    <row r="773" spans="2:12" x14ac:dyDescent="0.2">
      <c r="B773" s="110">
        <v>43813</v>
      </c>
      <c r="C773" s="353" t="s">
        <v>710</v>
      </c>
      <c r="D773" s="65"/>
      <c r="E773" s="13"/>
      <c r="F773" s="15" t="s">
        <v>433</v>
      </c>
      <c r="G773" s="15"/>
      <c r="H773" s="112">
        <v>577</v>
      </c>
      <c r="I773" s="12">
        <f t="shared" si="38"/>
        <v>184.64000000000001</v>
      </c>
      <c r="J773" s="12">
        <f t="shared" si="39"/>
        <v>392.36</v>
      </c>
      <c r="K773" s="12"/>
      <c r="L773" s="63">
        <f>+J773-K773+L772</f>
        <v>69640.960000000006</v>
      </c>
    </row>
    <row r="774" spans="2:12" x14ac:dyDescent="0.2">
      <c r="B774" s="110">
        <v>43815</v>
      </c>
      <c r="C774" s="353" t="s">
        <v>710</v>
      </c>
      <c r="D774" s="65"/>
      <c r="E774" s="13"/>
      <c r="F774" s="15" t="s">
        <v>433</v>
      </c>
      <c r="G774" s="15"/>
      <c r="H774" s="112">
        <v>946</v>
      </c>
      <c r="I774" s="12">
        <f t="shared" si="38"/>
        <v>302.72000000000003</v>
      </c>
      <c r="J774" s="12">
        <f t="shared" si="39"/>
        <v>643.28000000000009</v>
      </c>
      <c r="K774" s="12"/>
      <c r="L774" s="63">
        <f t="shared" ref="L774:L829" si="41">+J774-K774+L773</f>
        <v>70284.240000000005</v>
      </c>
    </row>
    <row r="775" spans="2:12" x14ac:dyDescent="0.2">
      <c r="B775" s="110">
        <v>43816</v>
      </c>
      <c r="C775" s="353" t="s">
        <v>710</v>
      </c>
      <c r="D775" s="65"/>
      <c r="E775" s="13"/>
      <c r="F775" s="15" t="s">
        <v>433</v>
      </c>
      <c r="G775" s="15"/>
      <c r="H775" s="112">
        <v>1838</v>
      </c>
      <c r="I775" s="12">
        <f t="shared" si="38"/>
        <v>588.16</v>
      </c>
      <c r="J775" s="12">
        <f t="shared" si="39"/>
        <v>1249.8400000000001</v>
      </c>
      <c r="K775" s="12"/>
      <c r="L775" s="63">
        <f t="shared" si="41"/>
        <v>71534.080000000002</v>
      </c>
    </row>
    <row r="776" spans="2:12" x14ac:dyDescent="0.2">
      <c r="B776" s="110">
        <v>43817</v>
      </c>
      <c r="C776" s="353" t="s">
        <v>710</v>
      </c>
      <c r="D776" s="65"/>
      <c r="E776" s="13"/>
      <c r="F776" s="15" t="s">
        <v>433</v>
      </c>
      <c r="G776" s="15"/>
      <c r="H776" s="112">
        <v>934</v>
      </c>
      <c r="I776" s="12">
        <f t="shared" si="38"/>
        <v>298.88</v>
      </c>
      <c r="J776" s="12">
        <f t="shared" si="39"/>
        <v>635.12</v>
      </c>
      <c r="K776" s="12"/>
      <c r="L776" s="63">
        <f t="shared" si="41"/>
        <v>72169.2</v>
      </c>
    </row>
    <row r="777" spans="2:12" x14ac:dyDescent="0.2">
      <c r="B777" s="110">
        <v>43818</v>
      </c>
      <c r="C777" s="353" t="s">
        <v>710</v>
      </c>
      <c r="D777" s="65"/>
      <c r="E777" s="13"/>
      <c r="F777" s="15" t="s">
        <v>433</v>
      </c>
      <c r="G777" s="15"/>
      <c r="H777" s="112">
        <v>318</v>
      </c>
      <c r="I777" s="12">
        <f t="shared" si="38"/>
        <v>101.76</v>
      </c>
      <c r="J777" s="12">
        <f t="shared" si="39"/>
        <v>216.24</v>
      </c>
      <c r="K777" s="12"/>
      <c r="L777" s="63">
        <f t="shared" si="41"/>
        <v>72385.440000000002</v>
      </c>
    </row>
    <row r="778" spans="2:12" x14ac:dyDescent="0.2">
      <c r="B778" s="110">
        <v>43819</v>
      </c>
      <c r="C778" s="353" t="s">
        <v>710</v>
      </c>
      <c r="D778" s="65"/>
      <c r="E778" s="13"/>
      <c r="F778" s="15" t="s">
        <v>433</v>
      </c>
      <c r="G778" s="15"/>
      <c r="H778" s="112">
        <v>760</v>
      </c>
      <c r="I778" s="12">
        <f t="shared" si="38"/>
        <v>243.20000000000002</v>
      </c>
      <c r="J778" s="12">
        <f t="shared" si="39"/>
        <v>516.80000000000007</v>
      </c>
      <c r="K778" s="12"/>
      <c r="L778" s="63">
        <f t="shared" si="41"/>
        <v>72902.240000000005</v>
      </c>
    </row>
    <row r="779" spans="2:12" x14ac:dyDescent="0.2">
      <c r="B779" s="110">
        <v>43820</v>
      </c>
      <c r="C779" s="353" t="s">
        <v>710</v>
      </c>
      <c r="D779" s="65"/>
      <c r="E779" s="13"/>
      <c r="F779" s="15" t="s">
        <v>433</v>
      </c>
      <c r="G779" s="15"/>
      <c r="H779" s="112">
        <f>1497-235</f>
        <v>1262</v>
      </c>
      <c r="I779" s="12">
        <f t="shared" si="38"/>
        <v>403.84000000000003</v>
      </c>
      <c r="J779" s="12">
        <f t="shared" si="39"/>
        <v>858.16000000000008</v>
      </c>
      <c r="K779" s="12"/>
      <c r="L779" s="63">
        <f t="shared" si="41"/>
        <v>73760.400000000009</v>
      </c>
    </row>
    <row r="780" spans="2:12" x14ac:dyDescent="0.2">
      <c r="B780" s="110">
        <v>43822</v>
      </c>
      <c r="C780" s="353" t="s">
        <v>711</v>
      </c>
      <c r="D780" s="65"/>
      <c r="E780" s="13"/>
      <c r="F780" s="15" t="s">
        <v>712</v>
      </c>
      <c r="G780" s="15"/>
      <c r="H780" s="112">
        <f>900-120</f>
        <v>780</v>
      </c>
      <c r="I780" s="12">
        <f t="shared" si="38"/>
        <v>249.6</v>
      </c>
      <c r="J780" s="12">
        <f t="shared" si="39"/>
        <v>530.40000000000009</v>
      </c>
      <c r="K780" s="12"/>
      <c r="L780" s="63">
        <f t="shared" si="41"/>
        <v>74290.8</v>
      </c>
    </row>
    <row r="781" spans="2:12" x14ac:dyDescent="0.2">
      <c r="B781" s="110">
        <v>43825</v>
      </c>
      <c r="C781" s="353" t="s">
        <v>711</v>
      </c>
      <c r="D781" s="65"/>
      <c r="E781" s="13"/>
      <c r="F781" s="15" t="s">
        <v>712</v>
      </c>
      <c r="G781" s="15"/>
      <c r="H781" s="112">
        <v>502</v>
      </c>
      <c r="I781" s="12">
        <f t="shared" si="38"/>
        <v>160.64000000000001</v>
      </c>
      <c r="J781" s="12">
        <f t="shared" si="39"/>
        <v>341.36</v>
      </c>
      <c r="K781" s="12"/>
      <c r="L781" s="63">
        <f t="shared" si="41"/>
        <v>74632.160000000003</v>
      </c>
    </row>
    <row r="782" spans="2:12" x14ac:dyDescent="0.2">
      <c r="B782" s="110">
        <v>43826</v>
      </c>
      <c r="C782" s="353" t="s">
        <v>711</v>
      </c>
      <c r="D782" s="65"/>
      <c r="E782" s="13"/>
      <c r="F782" s="15" t="s">
        <v>712</v>
      </c>
      <c r="G782" s="15"/>
      <c r="H782" s="112">
        <f>825-15</f>
        <v>810</v>
      </c>
      <c r="I782" s="12">
        <f t="shared" si="38"/>
        <v>259.2</v>
      </c>
      <c r="J782" s="12">
        <f t="shared" si="39"/>
        <v>550.80000000000007</v>
      </c>
      <c r="K782" s="12"/>
      <c r="L782" s="63">
        <f t="shared" si="41"/>
        <v>75182.960000000006</v>
      </c>
    </row>
    <row r="783" spans="2:12" x14ac:dyDescent="0.2">
      <c r="B783" s="110">
        <v>43829</v>
      </c>
      <c r="C783" s="353" t="s">
        <v>711</v>
      </c>
      <c r="D783" s="65"/>
      <c r="E783" s="13"/>
      <c r="F783" s="15" t="s">
        <v>712</v>
      </c>
      <c r="G783" s="15"/>
      <c r="H783" s="112">
        <f>2834-692</f>
        <v>2142</v>
      </c>
      <c r="I783" s="12">
        <f t="shared" si="38"/>
        <v>685.44</v>
      </c>
      <c r="J783" s="12">
        <f t="shared" si="39"/>
        <v>1456.5600000000002</v>
      </c>
      <c r="K783" s="12"/>
      <c r="L783" s="63">
        <f t="shared" si="41"/>
        <v>76639.520000000004</v>
      </c>
    </row>
    <row r="784" spans="2:12" x14ac:dyDescent="0.2">
      <c r="B784" s="110">
        <v>43830</v>
      </c>
      <c r="C784" s="353" t="s">
        <v>711</v>
      </c>
      <c r="D784" s="65"/>
      <c r="E784" s="13"/>
      <c r="F784" s="15" t="s">
        <v>712</v>
      </c>
      <c r="G784" s="15"/>
      <c r="H784" s="112">
        <f>887-285</f>
        <v>602</v>
      </c>
      <c r="I784" s="12">
        <f t="shared" si="38"/>
        <v>192.64000000000001</v>
      </c>
      <c r="J784" s="12">
        <f t="shared" si="39"/>
        <v>409.36</v>
      </c>
      <c r="K784" s="12"/>
      <c r="L784" s="63">
        <f t="shared" si="41"/>
        <v>77048.88</v>
      </c>
    </row>
    <row r="785" spans="2:12" x14ac:dyDescent="0.2">
      <c r="B785" s="110">
        <v>43801</v>
      </c>
      <c r="C785" s="353"/>
      <c r="D785" s="65"/>
      <c r="E785" s="13"/>
      <c r="F785" s="15"/>
      <c r="G785" s="15"/>
      <c r="H785" s="112">
        <v>144</v>
      </c>
      <c r="I785" s="12">
        <f t="shared" si="38"/>
        <v>46.08</v>
      </c>
      <c r="J785" s="12">
        <f t="shared" si="39"/>
        <v>97.92</v>
      </c>
      <c r="K785" s="12"/>
      <c r="L785" s="63">
        <f t="shared" si="41"/>
        <v>77146.8</v>
      </c>
    </row>
    <row r="786" spans="2:12" x14ac:dyDescent="0.2">
      <c r="B786" s="110">
        <v>43802</v>
      </c>
      <c r="C786" s="353"/>
      <c r="D786" s="65"/>
      <c r="E786" s="13"/>
      <c r="F786" s="15"/>
      <c r="G786" s="15"/>
      <c r="H786" s="112">
        <v>123</v>
      </c>
      <c r="I786" s="12">
        <f t="shared" si="38"/>
        <v>39.36</v>
      </c>
      <c r="J786" s="12">
        <f t="shared" si="39"/>
        <v>83.64</v>
      </c>
      <c r="K786" s="12"/>
      <c r="L786" s="63">
        <f t="shared" si="41"/>
        <v>77230.44</v>
      </c>
    </row>
    <row r="787" spans="2:12" x14ac:dyDescent="0.2">
      <c r="B787" s="110">
        <v>43803</v>
      </c>
      <c r="C787" s="353"/>
      <c r="D787" s="65"/>
      <c r="E787" s="13"/>
      <c r="F787" s="15"/>
      <c r="G787" s="15"/>
      <c r="H787" s="112">
        <v>20</v>
      </c>
      <c r="I787" s="12">
        <f t="shared" si="38"/>
        <v>6.4</v>
      </c>
      <c r="J787" s="12">
        <f t="shared" si="39"/>
        <v>13.600000000000001</v>
      </c>
      <c r="K787" s="12"/>
      <c r="L787" s="63">
        <f t="shared" si="41"/>
        <v>77244.040000000008</v>
      </c>
    </row>
    <row r="788" spans="2:12" x14ac:dyDescent="0.2">
      <c r="B788" s="110">
        <v>43804</v>
      </c>
      <c r="C788" s="353"/>
      <c r="D788" s="65"/>
      <c r="E788" s="13"/>
      <c r="F788" s="15"/>
      <c r="G788" s="15"/>
      <c r="H788" s="112">
        <v>164</v>
      </c>
      <c r="I788" s="12">
        <f t="shared" si="38"/>
        <v>52.480000000000004</v>
      </c>
      <c r="J788" s="12">
        <f t="shared" si="39"/>
        <v>111.52000000000001</v>
      </c>
      <c r="K788" s="12"/>
      <c r="L788" s="63">
        <f t="shared" si="41"/>
        <v>77355.560000000012</v>
      </c>
    </row>
    <row r="789" spans="2:12" x14ac:dyDescent="0.2">
      <c r="B789" s="110">
        <v>43805</v>
      </c>
      <c r="C789" s="353"/>
      <c r="D789" s="65"/>
      <c r="E789" s="13"/>
      <c r="F789" s="15"/>
      <c r="G789" s="15"/>
      <c r="H789" s="112">
        <v>308</v>
      </c>
      <c r="I789" s="12">
        <f t="shared" si="38"/>
        <v>98.56</v>
      </c>
      <c r="J789" s="12">
        <f t="shared" si="39"/>
        <v>209.44000000000003</v>
      </c>
      <c r="K789" s="12"/>
      <c r="L789" s="63">
        <f t="shared" si="41"/>
        <v>77565.000000000015</v>
      </c>
    </row>
    <row r="790" spans="2:12" x14ac:dyDescent="0.2">
      <c r="B790" s="110">
        <v>43808</v>
      </c>
      <c r="C790" s="353"/>
      <c r="D790" s="65"/>
      <c r="E790" s="13"/>
      <c r="F790" s="15"/>
      <c r="G790" s="15"/>
      <c r="H790" s="112">
        <v>740</v>
      </c>
      <c r="I790" s="12">
        <f t="shared" si="38"/>
        <v>236.8</v>
      </c>
      <c r="J790" s="12">
        <f t="shared" si="39"/>
        <v>503.20000000000005</v>
      </c>
      <c r="K790" s="12"/>
      <c r="L790" s="63">
        <f t="shared" si="41"/>
        <v>78068.200000000012</v>
      </c>
    </row>
    <row r="791" spans="2:12" x14ac:dyDescent="0.2">
      <c r="B791" s="110">
        <v>43809</v>
      </c>
      <c r="C791" s="353"/>
      <c r="D791" s="65"/>
      <c r="E791" s="13"/>
      <c r="F791" s="15"/>
      <c r="G791" s="15"/>
      <c r="H791" s="112">
        <v>452</v>
      </c>
      <c r="I791" s="12">
        <f t="shared" si="38"/>
        <v>144.64000000000001</v>
      </c>
      <c r="J791" s="12">
        <f t="shared" si="39"/>
        <v>307.36</v>
      </c>
      <c r="K791" s="12"/>
      <c r="L791" s="63">
        <f t="shared" si="41"/>
        <v>78375.560000000012</v>
      </c>
    </row>
    <row r="792" spans="2:12" x14ac:dyDescent="0.2">
      <c r="B792" s="110">
        <v>43810</v>
      </c>
      <c r="C792" s="353"/>
      <c r="D792" s="65"/>
      <c r="E792" s="13"/>
      <c r="F792" s="15"/>
      <c r="G792" s="15"/>
      <c r="H792" s="112">
        <v>432</v>
      </c>
      <c r="I792" s="12">
        <f t="shared" si="38"/>
        <v>138.24</v>
      </c>
      <c r="J792" s="12">
        <f t="shared" si="39"/>
        <v>293.76000000000005</v>
      </c>
      <c r="K792" s="12"/>
      <c r="L792" s="63">
        <f t="shared" si="41"/>
        <v>78669.320000000007</v>
      </c>
    </row>
    <row r="793" spans="2:12" x14ac:dyDescent="0.2">
      <c r="B793" s="110">
        <v>43811</v>
      </c>
      <c r="C793" s="353"/>
      <c r="D793" s="65"/>
      <c r="E793" s="13"/>
      <c r="F793" s="15"/>
      <c r="G793" s="15"/>
      <c r="H793" s="112">
        <v>268</v>
      </c>
      <c r="I793" s="12">
        <f t="shared" si="38"/>
        <v>85.76</v>
      </c>
      <c r="J793" s="12">
        <f t="shared" si="39"/>
        <v>182.24</v>
      </c>
      <c r="K793" s="12"/>
      <c r="L793" s="63">
        <f t="shared" si="41"/>
        <v>78851.560000000012</v>
      </c>
    </row>
    <row r="794" spans="2:12" x14ac:dyDescent="0.2">
      <c r="B794" s="110">
        <v>43813</v>
      </c>
      <c r="C794" s="353"/>
      <c r="D794" s="65"/>
      <c r="E794" s="13"/>
      <c r="F794" s="15"/>
      <c r="G794" s="15"/>
      <c r="H794" s="112">
        <v>208</v>
      </c>
      <c r="I794" s="12">
        <f t="shared" si="38"/>
        <v>66.56</v>
      </c>
      <c r="J794" s="12">
        <f t="shared" si="39"/>
        <v>141.44</v>
      </c>
      <c r="K794" s="12"/>
      <c r="L794" s="63">
        <f t="shared" si="41"/>
        <v>78993.000000000015</v>
      </c>
    </row>
    <row r="795" spans="2:12" x14ac:dyDescent="0.2">
      <c r="B795" s="110">
        <v>43815</v>
      </c>
      <c r="C795" s="353"/>
      <c r="D795" s="65"/>
      <c r="E795" s="13"/>
      <c r="F795" s="15"/>
      <c r="G795" s="15"/>
      <c r="H795" s="112">
        <v>586</v>
      </c>
      <c r="I795" s="12">
        <f t="shared" si="38"/>
        <v>187.52</v>
      </c>
      <c r="J795" s="12">
        <f t="shared" si="39"/>
        <v>398.48</v>
      </c>
      <c r="K795" s="12"/>
      <c r="L795" s="63">
        <f t="shared" si="41"/>
        <v>79391.48000000001</v>
      </c>
    </row>
    <row r="796" spans="2:12" x14ac:dyDescent="0.2">
      <c r="B796" s="110">
        <v>43816</v>
      </c>
      <c r="C796" s="353"/>
      <c r="D796" s="65"/>
      <c r="E796" s="13"/>
      <c r="F796" s="15"/>
      <c r="G796" s="15"/>
      <c r="H796" s="112">
        <v>402</v>
      </c>
      <c r="I796" s="12">
        <f t="shared" si="38"/>
        <v>128.64000000000001</v>
      </c>
      <c r="J796" s="12">
        <f t="shared" si="39"/>
        <v>273.36</v>
      </c>
      <c r="K796" s="12"/>
      <c r="L796" s="63">
        <f t="shared" si="41"/>
        <v>79664.840000000011</v>
      </c>
    </row>
    <row r="797" spans="2:12" x14ac:dyDescent="0.2">
      <c r="B797" s="110">
        <v>43818</v>
      </c>
      <c r="C797" s="353"/>
      <c r="D797" s="65"/>
      <c r="E797" s="13"/>
      <c r="F797" s="15"/>
      <c r="G797" s="15"/>
      <c r="H797" s="112">
        <v>164</v>
      </c>
      <c r="I797" s="12">
        <f t="shared" si="38"/>
        <v>52.480000000000004</v>
      </c>
      <c r="J797" s="12">
        <f t="shared" si="39"/>
        <v>111.52000000000001</v>
      </c>
      <c r="K797" s="12"/>
      <c r="L797" s="63">
        <f t="shared" si="41"/>
        <v>79776.360000000015</v>
      </c>
    </row>
    <row r="798" spans="2:12" x14ac:dyDescent="0.2">
      <c r="B798" s="110">
        <v>43819</v>
      </c>
      <c r="C798" s="353"/>
      <c r="D798" s="65"/>
      <c r="E798" s="13"/>
      <c r="F798" s="15"/>
      <c r="G798" s="15"/>
      <c r="H798" s="112">
        <v>452</v>
      </c>
      <c r="I798" s="12">
        <f t="shared" si="38"/>
        <v>144.64000000000001</v>
      </c>
      <c r="J798" s="12">
        <f t="shared" si="39"/>
        <v>307.36</v>
      </c>
      <c r="K798" s="12"/>
      <c r="L798" s="63">
        <f t="shared" si="41"/>
        <v>80083.720000000016</v>
      </c>
    </row>
    <row r="799" spans="2:12" x14ac:dyDescent="0.2">
      <c r="B799" s="110">
        <v>43822</v>
      </c>
      <c r="C799" s="353"/>
      <c r="D799" s="65"/>
      <c r="E799" s="13"/>
      <c r="F799" s="15"/>
      <c r="G799" s="15"/>
      <c r="H799" s="112">
        <v>100</v>
      </c>
      <c r="I799" s="12">
        <f t="shared" si="38"/>
        <v>32</v>
      </c>
      <c r="J799" s="12">
        <f t="shared" si="39"/>
        <v>68</v>
      </c>
      <c r="K799" s="12"/>
      <c r="L799" s="63">
        <f t="shared" si="41"/>
        <v>80151.720000000016</v>
      </c>
    </row>
    <row r="800" spans="2:12" x14ac:dyDescent="0.2">
      <c r="B800" s="110">
        <v>43823</v>
      </c>
      <c r="C800" s="353"/>
      <c r="D800" s="65"/>
      <c r="E800" s="13"/>
      <c r="F800" s="15"/>
      <c r="G800" s="15"/>
      <c r="H800" s="112">
        <v>2144</v>
      </c>
      <c r="I800" s="12">
        <f t="shared" si="38"/>
        <v>686.08</v>
      </c>
      <c r="J800" s="12">
        <f t="shared" si="39"/>
        <v>1457.92</v>
      </c>
      <c r="K800" s="12"/>
      <c r="L800" s="63">
        <f t="shared" si="41"/>
        <v>81609.640000000014</v>
      </c>
    </row>
    <row r="801" spans="2:12" x14ac:dyDescent="0.2">
      <c r="B801" s="110">
        <v>43825</v>
      </c>
      <c r="C801" s="353"/>
      <c r="D801" s="65"/>
      <c r="E801" s="13"/>
      <c r="F801" s="15"/>
      <c r="G801" s="15"/>
      <c r="H801" s="112">
        <v>308</v>
      </c>
      <c r="I801" s="12">
        <f t="shared" si="38"/>
        <v>98.56</v>
      </c>
      <c r="J801" s="12">
        <f t="shared" si="39"/>
        <v>209.44000000000003</v>
      </c>
      <c r="K801" s="12"/>
      <c r="L801" s="63">
        <f t="shared" si="41"/>
        <v>81819.080000000016</v>
      </c>
    </row>
    <row r="802" spans="2:12" x14ac:dyDescent="0.2">
      <c r="B802" s="110">
        <v>43826</v>
      </c>
      <c r="C802" s="353"/>
      <c r="D802" s="65"/>
      <c r="E802" s="13"/>
      <c r="F802" s="15"/>
      <c r="G802" s="15"/>
      <c r="H802" s="112">
        <v>1202</v>
      </c>
      <c r="I802" s="12">
        <f t="shared" si="38"/>
        <v>384.64</v>
      </c>
      <c r="J802" s="12">
        <f t="shared" si="39"/>
        <v>817.36</v>
      </c>
      <c r="K802" s="12"/>
      <c r="L802" s="63">
        <f t="shared" si="41"/>
        <v>82636.440000000017</v>
      </c>
    </row>
    <row r="803" spans="2:12" x14ac:dyDescent="0.2">
      <c r="B803" s="110">
        <v>43827</v>
      </c>
      <c r="C803" s="353"/>
      <c r="D803" s="65"/>
      <c r="E803" s="13"/>
      <c r="F803" s="15"/>
      <c r="G803" s="15"/>
      <c r="H803" s="112">
        <v>692</v>
      </c>
      <c r="I803" s="12">
        <f t="shared" si="38"/>
        <v>221.44</v>
      </c>
      <c r="J803" s="12">
        <f t="shared" si="39"/>
        <v>470.56000000000006</v>
      </c>
      <c r="K803" s="12"/>
      <c r="L803" s="63">
        <f t="shared" si="41"/>
        <v>83107.000000000015</v>
      </c>
    </row>
    <row r="804" spans="2:12" x14ac:dyDescent="0.2">
      <c r="B804" s="110">
        <v>43829</v>
      </c>
      <c r="C804" s="353"/>
      <c r="D804" s="65"/>
      <c r="E804" s="13"/>
      <c r="F804" s="15"/>
      <c r="G804" s="15"/>
      <c r="H804" s="112">
        <v>2709</v>
      </c>
      <c r="I804" s="12">
        <f t="shared" si="38"/>
        <v>866.88</v>
      </c>
      <c r="J804" s="12">
        <f t="shared" si="39"/>
        <v>1842.1200000000001</v>
      </c>
      <c r="K804" s="12"/>
      <c r="L804" s="63">
        <f t="shared" si="41"/>
        <v>84949.12000000001</v>
      </c>
    </row>
    <row r="805" spans="2:12" x14ac:dyDescent="0.2">
      <c r="B805" s="110">
        <v>43830</v>
      </c>
      <c r="C805" s="353"/>
      <c r="D805" s="65"/>
      <c r="E805" s="13"/>
      <c r="F805" s="15"/>
      <c r="G805" s="15"/>
      <c r="H805" s="112">
        <v>800</v>
      </c>
      <c r="I805" s="12">
        <f t="shared" si="38"/>
        <v>256</v>
      </c>
      <c r="J805" s="12">
        <f t="shared" si="39"/>
        <v>544</v>
      </c>
      <c r="K805" s="12"/>
      <c r="L805" s="63">
        <f t="shared" si="41"/>
        <v>85493.12000000001</v>
      </c>
    </row>
    <row r="806" spans="2:12" x14ac:dyDescent="0.2">
      <c r="B806" s="110"/>
      <c r="C806" s="353"/>
      <c r="D806" s="65"/>
      <c r="E806" s="13"/>
      <c r="F806" s="15"/>
      <c r="G806" s="15"/>
      <c r="H806" s="112"/>
      <c r="I806" s="12">
        <f t="shared" si="38"/>
        <v>0</v>
      </c>
      <c r="J806" s="12">
        <f t="shared" si="39"/>
        <v>0</v>
      </c>
      <c r="K806" s="12"/>
      <c r="L806" s="63">
        <f t="shared" si="41"/>
        <v>85493.12000000001</v>
      </c>
    </row>
    <row r="807" spans="2:12" x14ac:dyDescent="0.2">
      <c r="B807" s="110"/>
      <c r="C807" s="65"/>
      <c r="D807" s="65"/>
      <c r="E807" s="13"/>
      <c r="F807" s="15"/>
      <c r="G807" s="66"/>
      <c r="H807" s="112"/>
      <c r="I807" s="12"/>
      <c r="J807" s="12"/>
      <c r="K807" s="12"/>
      <c r="L807" s="63">
        <f t="shared" si="41"/>
        <v>85493.12000000001</v>
      </c>
    </row>
    <row r="808" spans="2:12" x14ac:dyDescent="0.2">
      <c r="B808" s="547" t="s">
        <v>256</v>
      </c>
      <c r="C808" s="548"/>
      <c r="D808" s="548"/>
      <c r="E808" s="548"/>
      <c r="F808" s="548"/>
      <c r="G808" s="548"/>
      <c r="H808" s="548"/>
      <c r="I808" s="548"/>
      <c r="J808" s="548"/>
      <c r="K808" s="548"/>
      <c r="L808" s="63">
        <f t="shared" si="41"/>
        <v>85493.12000000001</v>
      </c>
    </row>
    <row r="809" spans="2:12" x14ac:dyDescent="0.2">
      <c r="B809" s="552" t="s">
        <v>56</v>
      </c>
      <c r="C809" s="553"/>
      <c r="D809" s="554" t="s">
        <v>51</v>
      </c>
      <c r="E809" s="554"/>
      <c r="F809" s="554"/>
      <c r="G809" s="94"/>
      <c r="H809" s="95"/>
      <c r="I809" s="96"/>
      <c r="J809" s="96"/>
      <c r="K809" s="97"/>
      <c r="L809" s="63">
        <f t="shared" si="41"/>
        <v>85493.12000000001</v>
      </c>
    </row>
    <row r="810" spans="2:12" x14ac:dyDescent="0.2">
      <c r="B810" s="91" t="s">
        <v>1</v>
      </c>
      <c r="C810" s="92" t="s">
        <v>57</v>
      </c>
      <c r="D810" s="92" t="s">
        <v>2</v>
      </c>
      <c r="E810" s="402" t="s">
        <v>3</v>
      </c>
      <c r="F810" s="402" t="s">
        <v>4</v>
      </c>
      <c r="G810" s="561" t="s">
        <v>58</v>
      </c>
      <c r="H810" s="562"/>
      <c r="I810" s="562"/>
      <c r="J810" s="563"/>
      <c r="K810" s="90"/>
      <c r="L810" s="63">
        <f t="shared" si="41"/>
        <v>85493.12000000001</v>
      </c>
    </row>
    <row r="811" spans="2:12" x14ac:dyDescent="0.2">
      <c r="B811" s="10"/>
      <c r="C811" s="77"/>
      <c r="D811" s="77"/>
      <c r="E811" s="3"/>
      <c r="F811" s="16"/>
      <c r="G811" s="588"/>
      <c r="H811" s="589"/>
      <c r="I811" s="590"/>
      <c r="J811" s="349"/>
      <c r="K811" s="70"/>
      <c r="L811" s="63">
        <f t="shared" si="41"/>
        <v>85493.12000000001</v>
      </c>
    </row>
    <row r="812" spans="2:12" ht="29.25" customHeight="1" x14ac:dyDescent="0.2">
      <c r="B812" s="10">
        <v>43803</v>
      </c>
      <c r="C812" s="77" t="s">
        <v>704</v>
      </c>
      <c r="D812" s="77"/>
      <c r="E812" s="3"/>
      <c r="F812" s="16"/>
      <c r="G812" s="571" t="s">
        <v>705</v>
      </c>
      <c r="H812" s="572"/>
      <c r="I812" s="573"/>
      <c r="J812" s="349"/>
      <c r="K812" s="70">
        <v>1200</v>
      </c>
      <c r="L812" s="63">
        <f t="shared" si="41"/>
        <v>84293.12000000001</v>
      </c>
    </row>
    <row r="813" spans="2:12" ht="35.25" customHeight="1" x14ac:dyDescent="0.2">
      <c r="B813" s="10">
        <v>43805</v>
      </c>
      <c r="C813" s="77" t="s">
        <v>708</v>
      </c>
      <c r="D813" s="77"/>
      <c r="E813" s="3"/>
      <c r="F813" s="16"/>
      <c r="G813" s="571" t="s">
        <v>709</v>
      </c>
      <c r="H813" s="572"/>
      <c r="I813" s="573"/>
      <c r="J813" s="349"/>
      <c r="K813" s="70"/>
      <c r="L813" s="63">
        <f t="shared" si="41"/>
        <v>84293.12000000001</v>
      </c>
    </row>
    <row r="814" spans="2:12" x14ac:dyDescent="0.2">
      <c r="B814" s="10"/>
      <c r="C814" s="77"/>
      <c r="D814" s="77"/>
      <c r="E814" s="3"/>
      <c r="F814" s="16"/>
      <c r="G814" s="571" t="s">
        <v>577</v>
      </c>
      <c r="H814" s="572"/>
      <c r="I814" s="573"/>
      <c r="J814" s="349"/>
      <c r="K814" s="70">
        <v>1700</v>
      </c>
      <c r="L814" s="63">
        <f t="shared" si="41"/>
        <v>82593.12000000001</v>
      </c>
    </row>
    <row r="815" spans="2:12" x14ac:dyDescent="0.2">
      <c r="B815" s="10"/>
      <c r="C815" s="77"/>
      <c r="D815" s="77"/>
      <c r="E815" s="3"/>
      <c r="F815" s="16"/>
      <c r="G815" s="571" t="s">
        <v>619</v>
      </c>
      <c r="H815" s="572"/>
      <c r="I815" s="573"/>
      <c r="J815" s="349"/>
      <c r="K815" s="70">
        <v>950</v>
      </c>
      <c r="L815" s="63">
        <f t="shared" si="41"/>
        <v>81643.12000000001</v>
      </c>
    </row>
    <row r="816" spans="2:12" x14ac:dyDescent="0.2">
      <c r="B816" s="10"/>
      <c r="C816" s="77"/>
      <c r="D816" s="77"/>
      <c r="E816" s="3"/>
      <c r="F816" s="16"/>
      <c r="G816" s="571" t="s">
        <v>579</v>
      </c>
      <c r="H816" s="572"/>
      <c r="I816" s="573"/>
      <c r="J816" s="349"/>
      <c r="K816" s="70">
        <v>850</v>
      </c>
      <c r="L816" s="63">
        <f t="shared" si="41"/>
        <v>80793.12000000001</v>
      </c>
    </row>
    <row r="817" spans="2:12" ht="56.25" customHeight="1" x14ac:dyDescent="0.2">
      <c r="B817" s="10">
        <v>43846</v>
      </c>
      <c r="C817" s="77" t="s">
        <v>714</v>
      </c>
      <c r="D817" s="77"/>
      <c r="E817" s="3"/>
      <c r="F817" s="16"/>
      <c r="G817" s="571" t="s">
        <v>715</v>
      </c>
      <c r="H817" s="572"/>
      <c r="I817" s="573"/>
      <c r="J817" s="349"/>
      <c r="K817" s="397">
        <f>1040-1040</f>
        <v>0</v>
      </c>
      <c r="L817" s="63">
        <f t="shared" si="41"/>
        <v>80793.12000000001</v>
      </c>
    </row>
    <row r="818" spans="2:12" ht="54" customHeight="1" x14ac:dyDescent="0.2">
      <c r="B818" s="10"/>
      <c r="C818" s="77"/>
      <c r="D818" s="77"/>
      <c r="E818" s="3"/>
      <c r="F818" s="16"/>
      <c r="G818" s="571" t="s">
        <v>716</v>
      </c>
      <c r="H818" s="572"/>
      <c r="I818" s="573"/>
      <c r="J818" s="349"/>
      <c r="K818" s="70">
        <v>1040</v>
      </c>
      <c r="L818" s="63">
        <f t="shared" si="41"/>
        <v>79753.12000000001</v>
      </c>
    </row>
    <row r="819" spans="2:12" ht="65.25" customHeight="1" x14ac:dyDescent="0.2">
      <c r="B819" s="10"/>
      <c r="C819" s="77"/>
      <c r="D819" s="77"/>
      <c r="E819" s="3"/>
      <c r="F819" s="16"/>
      <c r="G819" s="571" t="s">
        <v>717</v>
      </c>
      <c r="H819" s="572"/>
      <c r="I819" s="573"/>
      <c r="J819" s="349"/>
      <c r="K819" s="70">
        <v>1600</v>
      </c>
      <c r="L819" s="63">
        <f t="shared" si="41"/>
        <v>78153.12000000001</v>
      </c>
    </row>
    <row r="820" spans="2:12" ht="53.25" customHeight="1" x14ac:dyDescent="0.2">
      <c r="B820" s="10"/>
      <c r="C820" s="77"/>
      <c r="D820" s="77"/>
      <c r="E820" s="3"/>
      <c r="F820" s="16"/>
      <c r="G820" s="571" t="s">
        <v>718</v>
      </c>
      <c r="H820" s="572"/>
      <c r="I820" s="573"/>
      <c r="J820" s="349"/>
      <c r="K820" s="70">
        <v>800</v>
      </c>
      <c r="L820" s="63">
        <f t="shared" si="41"/>
        <v>77353.12000000001</v>
      </c>
    </row>
    <row r="821" spans="2:12" ht="57.75" customHeight="1" x14ac:dyDescent="0.2">
      <c r="B821" s="10"/>
      <c r="C821" s="77"/>
      <c r="D821" s="77"/>
      <c r="E821" s="3"/>
      <c r="F821" s="16"/>
      <c r="G821" s="571" t="s">
        <v>719</v>
      </c>
      <c r="H821" s="572"/>
      <c r="I821" s="573"/>
      <c r="J821" s="349"/>
      <c r="K821" s="70">
        <v>2500</v>
      </c>
      <c r="L821" s="63">
        <f t="shared" si="41"/>
        <v>74853.12000000001</v>
      </c>
    </row>
    <row r="822" spans="2:12" ht="36.75" customHeight="1" x14ac:dyDescent="0.2">
      <c r="B822" s="10">
        <v>43846</v>
      </c>
      <c r="C822" s="77" t="s">
        <v>720</v>
      </c>
      <c r="D822" s="77"/>
      <c r="E822" s="3"/>
      <c r="F822" s="16"/>
      <c r="G822" s="591" t="s">
        <v>721</v>
      </c>
      <c r="H822" s="592"/>
      <c r="I822" s="593"/>
      <c r="J822" s="349"/>
      <c r="K822" s="70"/>
      <c r="L822" s="63">
        <f t="shared" si="41"/>
        <v>74853.12000000001</v>
      </c>
    </row>
    <row r="823" spans="2:12" x14ac:dyDescent="0.2">
      <c r="B823" s="10"/>
      <c r="C823" s="77"/>
      <c r="D823" s="77"/>
      <c r="E823" s="3"/>
      <c r="F823" s="16"/>
      <c r="G823" s="571" t="s">
        <v>243</v>
      </c>
      <c r="H823" s="572"/>
      <c r="I823" s="573"/>
      <c r="J823" s="349"/>
      <c r="K823" s="70">
        <v>1336.31</v>
      </c>
      <c r="L823" s="63">
        <f t="shared" si="41"/>
        <v>73516.810000000012</v>
      </c>
    </row>
    <row r="824" spans="2:12" x14ac:dyDescent="0.2">
      <c r="B824" s="10"/>
      <c r="C824" s="77"/>
      <c r="D824" s="77"/>
      <c r="E824" s="3"/>
      <c r="F824" s="16"/>
      <c r="G824" s="571" t="s">
        <v>249</v>
      </c>
      <c r="H824" s="572"/>
      <c r="I824" s="573"/>
      <c r="J824" s="349"/>
      <c r="K824" s="70">
        <v>1336.31</v>
      </c>
      <c r="L824" s="63">
        <f t="shared" si="41"/>
        <v>72180.500000000015</v>
      </c>
    </row>
    <row r="825" spans="2:12" x14ac:dyDescent="0.2">
      <c r="B825" s="10"/>
      <c r="C825" s="77"/>
      <c r="D825" s="77"/>
      <c r="E825" s="3"/>
      <c r="F825" s="16"/>
      <c r="G825" s="571" t="s">
        <v>64</v>
      </c>
      <c r="H825" s="572"/>
      <c r="I825" s="573"/>
      <c r="J825" s="349"/>
      <c r="K825" s="70">
        <v>688.15</v>
      </c>
      <c r="L825" s="63">
        <f t="shared" si="41"/>
        <v>71492.35000000002</v>
      </c>
    </row>
    <row r="826" spans="2:12" x14ac:dyDescent="0.2">
      <c r="B826" s="10"/>
      <c r="C826" s="77"/>
      <c r="D826" s="77"/>
      <c r="E826" s="3"/>
      <c r="F826" s="16"/>
      <c r="G826" s="571" t="s">
        <v>65</v>
      </c>
      <c r="H826" s="572"/>
      <c r="I826" s="573"/>
      <c r="J826" s="349"/>
      <c r="K826" s="70">
        <v>688.15</v>
      </c>
      <c r="L826" s="63">
        <f t="shared" si="41"/>
        <v>70804.200000000026</v>
      </c>
    </row>
    <row r="827" spans="2:12" ht="59.25" customHeight="1" x14ac:dyDescent="0.2">
      <c r="B827" s="10">
        <v>43857</v>
      </c>
      <c r="C827" s="77" t="s">
        <v>722</v>
      </c>
      <c r="D827" s="77"/>
      <c r="E827" s="3"/>
      <c r="F827" s="16"/>
      <c r="G827" s="571" t="s">
        <v>723</v>
      </c>
      <c r="H827" s="572"/>
      <c r="I827" s="573"/>
      <c r="J827" s="349"/>
      <c r="K827" s="397">
        <f>1040-1040</f>
        <v>0</v>
      </c>
      <c r="L827" s="63">
        <f t="shared" si="41"/>
        <v>70804.200000000026</v>
      </c>
    </row>
    <row r="828" spans="2:12" x14ac:dyDescent="0.2">
      <c r="B828" s="10"/>
      <c r="C828" s="77"/>
      <c r="D828" s="77"/>
      <c r="E828" s="3"/>
      <c r="F828" s="16"/>
      <c r="G828" s="375"/>
      <c r="H828" s="568"/>
      <c r="I828" s="570"/>
      <c r="J828" s="349"/>
      <c r="K828" s="70"/>
      <c r="L828" s="63">
        <f t="shared" si="41"/>
        <v>70804.200000000026</v>
      </c>
    </row>
    <row r="829" spans="2:12" x14ac:dyDescent="0.2">
      <c r="B829" s="10"/>
      <c r="C829" s="77"/>
      <c r="D829" s="77"/>
      <c r="E829" s="3"/>
      <c r="F829" s="16"/>
      <c r="G829" s="375"/>
      <c r="H829" s="376"/>
      <c r="I829" s="399"/>
      <c r="J829" s="349"/>
      <c r="K829" s="70"/>
      <c r="L829" s="63">
        <f t="shared" si="41"/>
        <v>70804.200000000026</v>
      </c>
    </row>
    <row r="830" spans="2:12" ht="12.75" thickBot="1" x14ac:dyDescent="0.25">
      <c r="B830" s="64"/>
      <c r="C830" s="65"/>
      <c r="D830" s="65"/>
      <c r="E830" s="13"/>
      <c r="F830" s="13"/>
      <c r="G830" s="104"/>
      <c r="H830" s="84"/>
      <c r="I830" s="12"/>
      <c r="J830" s="12"/>
      <c r="K830" s="12"/>
      <c r="L830" s="63"/>
    </row>
    <row r="831" spans="2:12" x14ac:dyDescent="0.2">
      <c r="B831" s="56"/>
      <c r="C831" s="57"/>
      <c r="D831" s="57"/>
      <c r="E831" s="5"/>
      <c r="F831" s="5"/>
      <c r="G831" s="85" t="s">
        <v>26</v>
      </c>
      <c r="H831" s="107">
        <f>SUM(H762:H806)</f>
        <v>33997</v>
      </c>
      <c r="I831" s="105">
        <f>SUM(I762:I806)</f>
        <v>10879.04</v>
      </c>
      <c r="J831" s="106">
        <f>SUM(J762:J806)</f>
        <v>23117.960000000003</v>
      </c>
      <c r="K831" s="106">
        <f>SUM(K811:K828)</f>
        <v>14688.919999999998</v>
      </c>
      <c r="L831" s="108"/>
    </row>
    <row r="832" spans="2:12" ht="12.75" thickBot="1" x14ac:dyDescent="0.25">
      <c r="B832" s="71"/>
      <c r="C832" s="72"/>
      <c r="D832" s="72"/>
      <c r="E832" s="73"/>
      <c r="F832" s="73"/>
      <c r="G832" s="86" t="s">
        <v>13</v>
      </c>
      <c r="H832" s="100"/>
      <c r="I832" s="99"/>
      <c r="J832" s="87"/>
      <c r="K832" s="87"/>
      <c r="L832" s="88">
        <f>+J831-K831+L761</f>
        <v>70804.200000000026</v>
      </c>
    </row>
    <row r="833" spans="2:12" x14ac:dyDescent="0.2">
      <c r="B833" s="25"/>
      <c r="H833" s="74"/>
      <c r="I833" s="25"/>
      <c r="L833" s="25"/>
    </row>
    <row r="834" spans="2:12" ht="13.5" x14ac:dyDescent="0.2">
      <c r="B834" s="25"/>
      <c r="D834" s="540" t="s">
        <v>15</v>
      </c>
      <c r="E834" s="540"/>
      <c r="F834" s="540"/>
      <c r="G834" s="540"/>
      <c r="H834" s="540"/>
      <c r="I834" s="540"/>
    </row>
    <row r="835" spans="2:12" x14ac:dyDescent="0.2">
      <c r="B835" s="25"/>
      <c r="D835" s="541" t="s">
        <v>55</v>
      </c>
      <c r="E835" s="542"/>
      <c r="F835" s="542"/>
      <c r="G835" s="542"/>
      <c r="H835" s="542"/>
      <c r="I835" s="543"/>
    </row>
    <row r="836" spans="2:12" x14ac:dyDescent="0.2">
      <c r="B836" s="25"/>
      <c r="D836" s="17"/>
      <c r="E836" s="18" t="s">
        <v>17</v>
      </c>
      <c r="F836" s="18" t="s">
        <v>18</v>
      </c>
      <c r="G836" s="1" t="s">
        <v>19</v>
      </c>
      <c r="H836" s="1" t="s">
        <v>20</v>
      </c>
      <c r="I836" s="18" t="s">
        <v>21</v>
      </c>
    </row>
    <row r="837" spans="2:12" ht="24" x14ac:dyDescent="0.2">
      <c r="B837" s="25"/>
      <c r="D837" s="19" t="s">
        <v>5</v>
      </c>
      <c r="E837" s="109" t="s">
        <v>7</v>
      </c>
      <c r="F837" s="18" t="s">
        <v>8</v>
      </c>
      <c r="G837" s="1" t="s">
        <v>9</v>
      </c>
      <c r="H837" s="1" t="s">
        <v>22</v>
      </c>
      <c r="I837" s="6" t="s">
        <v>23</v>
      </c>
    </row>
    <row r="838" spans="2:12" x14ac:dyDescent="0.2">
      <c r="B838" s="25"/>
      <c r="D838" s="20" t="s">
        <v>54</v>
      </c>
      <c r="E838" s="21"/>
      <c r="F838" s="21"/>
      <c r="G838" s="22"/>
      <c r="H838" s="2"/>
      <c r="I838" s="55">
        <v>0</v>
      </c>
      <c r="L838" s="26">
        <v>39517.730000000003</v>
      </c>
    </row>
    <row r="839" spans="2:12" ht="12.75" x14ac:dyDescent="0.2">
      <c r="B839" s="25"/>
      <c r="D839" s="23" t="s">
        <v>25</v>
      </c>
      <c r="E839" s="101">
        <f>H70</f>
        <v>59214</v>
      </c>
      <c r="F839" s="101">
        <f>I70</f>
        <v>18948.48</v>
      </c>
      <c r="G839" s="102">
        <f>J70</f>
        <v>40265.520000000004</v>
      </c>
      <c r="H839" s="3">
        <f>K70</f>
        <v>3500</v>
      </c>
      <c r="I839" s="103">
        <f t="shared" ref="I839:I849" si="42">+G839-H839+I838</f>
        <v>36765.520000000004</v>
      </c>
    </row>
    <row r="840" spans="2:12" ht="12.75" x14ac:dyDescent="0.2">
      <c r="B840" s="25"/>
      <c r="D840" s="23" t="s">
        <v>14</v>
      </c>
      <c r="E840" s="24">
        <f>H135</f>
        <v>16160</v>
      </c>
      <c r="F840" s="24">
        <f>I135</f>
        <v>5171.2000000000007</v>
      </c>
      <c r="G840" s="7">
        <f>J135</f>
        <v>10988.800000000003</v>
      </c>
      <c r="H840" s="3">
        <f>K135</f>
        <v>4000</v>
      </c>
      <c r="I840" s="103">
        <f t="shared" si="42"/>
        <v>43754.320000000007</v>
      </c>
    </row>
    <row r="841" spans="2:12" ht="12.75" x14ac:dyDescent="0.2">
      <c r="B841" s="25"/>
      <c r="D841" s="8" t="s">
        <v>26</v>
      </c>
      <c r="E841" s="24">
        <f>H219</f>
        <v>22221</v>
      </c>
      <c r="F841" s="24">
        <f>I219</f>
        <v>7110.7199999999984</v>
      </c>
      <c r="G841" s="7">
        <f>J219</f>
        <v>15110.280000000002</v>
      </c>
      <c r="H841" s="3">
        <f>K219</f>
        <v>22450</v>
      </c>
      <c r="I841" s="103">
        <f t="shared" si="42"/>
        <v>36414.600000000006</v>
      </c>
    </row>
    <row r="842" spans="2:12" ht="12.75" x14ac:dyDescent="0.2">
      <c r="B842" s="25"/>
      <c r="D842" s="23" t="s">
        <v>27</v>
      </c>
      <c r="E842" s="24">
        <f>H294</f>
        <v>30375</v>
      </c>
      <c r="F842" s="24">
        <f>I294</f>
        <v>9430.7199999999993</v>
      </c>
      <c r="G842" s="7">
        <f>J294</f>
        <v>19689.400000000001</v>
      </c>
      <c r="H842" s="3">
        <f>K294</f>
        <v>10795.140000000001</v>
      </c>
      <c r="I842" s="103">
        <f t="shared" si="42"/>
        <v>45308.860000000008</v>
      </c>
    </row>
    <row r="843" spans="2:12" ht="12.75" x14ac:dyDescent="0.2">
      <c r="B843" s="25"/>
      <c r="D843" s="23" t="s">
        <v>28</v>
      </c>
      <c r="E843" s="24">
        <f>H358</f>
        <v>17198</v>
      </c>
      <c r="F843" s="24">
        <f>I358</f>
        <v>5503.36</v>
      </c>
      <c r="G843" s="7">
        <f>J358</f>
        <v>11694.640000000005</v>
      </c>
      <c r="H843" s="3">
        <f>K358</f>
        <v>12425.76</v>
      </c>
      <c r="I843" s="103">
        <f t="shared" si="42"/>
        <v>44577.740000000013</v>
      </c>
    </row>
    <row r="844" spans="2:12" ht="12.75" x14ac:dyDescent="0.2">
      <c r="B844" s="25"/>
      <c r="D844" s="23" t="s">
        <v>29</v>
      </c>
      <c r="E844" s="24">
        <f>H421</f>
        <v>10754</v>
      </c>
      <c r="F844" s="24">
        <f>I421</f>
        <v>3441.28</v>
      </c>
      <c r="G844" s="7">
        <f>J421</f>
        <v>7312.72</v>
      </c>
      <c r="H844" s="3">
        <f>K421</f>
        <v>8460</v>
      </c>
      <c r="I844" s="103">
        <f t="shared" si="42"/>
        <v>43430.460000000014</v>
      </c>
    </row>
    <row r="845" spans="2:12" ht="12.75" x14ac:dyDescent="0.2">
      <c r="B845" s="25"/>
      <c r="D845" s="23" t="s">
        <v>30</v>
      </c>
      <c r="E845" s="24">
        <f>H483</f>
        <v>18592</v>
      </c>
      <c r="F845" s="24">
        <f>I483</f>
        <v>5949.4400000000005</v>
      </c>
      <c r="G845" s="7">
        <f>J483</f>
        <v>12642.56</v>
      </c>
      <c r="H845" s="3">
        <f>K483</f>
        <v>7070</v>
      </c>
      <c r="I845" s="103">
        <f t="shared" si="42"/>
        <v>49003.020000000011</v>
      </c>
    </row>
    <row r="846" spans="2:12" ht="12.75" x14ac:dyDescent="0.2">
      <c r="B846" s="25"/>
      <c r="D846" s="23" t="s">
        <v>31</v>
      </c>
      <c r="E846" s="24">
        <f>H559</f>
        <v>28860</v>
      </c>
      <c r="F846" s="24">
        <f>I559</f>
        <v>9235.1999999999971</v>
      </c>
      <c r="G846" s="7">
        <f>J559</f>
        <v>19624.799999999992</v>
      </c>
      <c r="H846" s="3">
        <f>K559</f>
        <v>12583.51</v>
      </c>
      <c r="I846" s="103">
        <f t="shared" si="42"/>
        <v>56044.310000000005</v>
      </c>
    </row>
    <row r="847" spans="2:12" ht="12.75" x14ac:dyDescent="0.2">
      <c r="B847" s="25"/>
      <c r="D847" s="23" t="s">
        <v>32</v>
      </c>
      <c r="E847" s="24">
        <f>H628</f>
        <v>32263</v>
      </c>
      <c r="F847" s="24">
        <f>I628</f>
        <v>10324.159999999998</v>
      </c>
      <c r="G847" s="7">
        <f>J628</f>
        <v>21938.840000000004</v>
      </c>
      <c r="H847" s="3">
        <f>K628</f>
        <v>16780</v>
      </c>
      <c r="I847" s="103">
        <f t="shared" si="42"/>
        <v>61203.150000000009</v>
      </c>
      <c r="J847" s="103"/>
    </row>
    <row r="848" spans="2:12" ht="12.75" x14ac:dyDescent="0.2">
      <c r="B848" s="25"/>
      <c r="D848" s="23" t="s">
        <v>33</v>
      </c>
      <c r="E848" s="24">
        <f>H694</f>
        <v>17902</v>
      </c>
      <c r="F848" s="24">
        <f>I694</f>
        <v>5728.6399999999994</v>
      </c>
      <c r="G848" s="7">
        <f>J694</f>
        <v>12173.360000000002</v>
      </c>
      <c r="H848" s="4">
        <f>K694</f>
        <v>12384.9</v>
      </c>
      <c r="I848" s="103">
        <f t="shared" si="42"/>
        <v>60991.610000000015</v>
      </c>
    </row>
    <row r="849" spans="2:12" ht="12.75" x14ac:dyDescent="0.2">
      <c r="B849" s="25"/>
      <c r="D849" s="23" t="s">
        <v>34</v>
      </c>
      <c r="E849" s="24">
        <f>H754</f>
        <v>18626</v>
      </c>
      <c r="F849" s="24">
        <f>I754</f>
        <v>5960.3200000000024</v>
      </c>
      <c r="G849" s="7">
        <f>J754</f>
        <v>12665.680000000006</v>
      </c>
      <c r="H849" s="4">
        <f>K754</f>
        <v>11282.13</v>
      </c>
      <c r="I849" s="103">
        <f t="shared" si="42"/>
        <v>62375.160000000018</v>
      </c>
    </row>
    <row r="850" spans="2:12" ht="12.75" x14ac:dyDescent="0.2">
      <c r="B850" s="25"/>
      <c r="D850" s="23" t="s">
        <v>35</v>
      </c>
      <c r="E850" s="24">
        <f>H831</f>
        <v>33997</v>
      </c>
      <c r="F850" s="24">
        <f>I831</f>
        <v>10879.04</v>
      </c>
      <c r="G850" s="7">
        <f>J831</f>
        <v>23117.960000000003</v>
      </c>
      <c r="H850" s="4">
        <f>K831</f>
        <v>14688.919999999998</v>
      </c>
      <c r="I850" s="103">
        <f>+G850-H850+I849</f>
        <v>70804.200000000026</v>
      </c>
      <c r="K850" s="396">
        <f>I850-I838</f>
        <v>70804.200000000026</v>
      </c>
    </row>
    <row r="851" spans="2:12" ht="12.75" x14ac:dyDescent="0.2">
      <c r="B851" s="25"/>
      <c r="C851" s="25"/>
      <c r="D851" s="15" t="s">
        <v>36</v>
      </c>
      <c r="E851" s="24">
        <f>SUM(E839:E850)</f>
        <v>306162</v>
      </c>
      <c r="F851" s="24">
        <f>SUM(F839:F850)</f>
        <v>97682.559999999998</v>
      </c>
      <c r="G851" s="24">
        <f>SUM(G839:G850)</f>
        <v>207224.56</v>
      </c>
      <c r="H851" s="24">
        <f>SUM(H839:H850)</f>
        <v>136420.35999999999</v>
      </c>
      <c r="I851" s="103"/>
    </row>
    <row r="852" spans="2:12" x14ac:dyDescent="0.2">
      <c r="B852" s="25"/>
      <c r="C852" s="25"/>
      <c r="D852" s="25"/>
      <c r="E852" s="25"/>
      <c r="F852" s="25"/>
      <c r="G852" s="27"/>
      <c r="H852" s="74"/>
      <c r="I852" s="25"/>
      <c r="J852" s="25"/>
      <c r="K852" s="25"/>
      <c r="L852" s="25"/>
    </row>
    <row r="853" spans="2:12" x14ac:dyDescent="0.2">
      <c r="B853" s="25"/>
      <c r="C853" s="25"/>
      <c r="D853" s="25"/>
      <c r="E853" s="25"/>
      <c r="F853" s="25"/>
      <c r="G853" s="27"/>
      <c r="H853" s="74"/>
      <c r="I853" s="25"/>
      <c r="J853" s="25"/>
      <c r="K853" s="25"/>
      <c r="L853" s="25"/>
    </row>
    <row r="854" spans="2:12" x14ac:dyDescent="0.2">
      <c r="B854" s="25"/>
      <c r="C854" s="25"/>
      <c r="D854" s="25"/>
      <c r="E854" s="25"/>
      <c r="F854" s="25"/>
      <c r="G854" s="27"/>
      <c r="H854" s="74"/>
      <c r="I854" s="25"/>
      <c r="J854" s="25"/>
      <c r="K854" s="25"/>
      <c r="L854" s="25"/>
    </row>
    <row r="855" spans="2:12" x14ac:dyDescent="0.2">
      <c r="B855" s="25"/>
      <c r="C855" s="25"/>
      <c r="D855" s="25"/>
      <c r="E855" s="25"/>
      <c r="F855" s="25"/>
      <c r="G855" s="27"/>
      <c r="H855" s="74"/>
      <c r="I855" s="25"/>
      <c r="J855" s="25"/>
      <c r="K855" s="25"/>
      <c r="L855" s="25"/>
    </row>
    <row r="856" spans="2:12" x14ac:dyDescent="0.2">
      <c r="B856" s="25"/>
      <c r="C856" s="25"/>
      <c r="D856" s="25"/>
      <c r="E856" s="25"/>
      <c r="F856" s="25"/>
      <c r="G856" s="27"/>
      <c r="H856" s="74"/>
      <c r="I856" s="25"/>
      <c r="J856" s="25"/>
      <c r="K856" s="25"/>
      <c r="L856" s="25"/>
    </row>
    <row r="857" spans="2:12" x14ac:dyDescent="0.2">
      <c r="B857" s="25"/>
      <c r="C857" s="25"/>
      <c r="D857" s="25"/>
      <c r="E857" s="25"/>
      <c r="F857" s="25"/>
      <c r="G857" s="27"/>
      <c r="H857" s="74"/>
      <c r="I857" s="25"/>
      <c r="J857" s="25"/>
      <c r="K857" s="25"/>
      <c r="L857" s="25"/>
    </row>
    <row r="858" spans="2:12" x14ac:dyDescent="0.2">
      <c r="B858" s="25"/>
      <c r="C858" s="25"/>
      <c r="D858" s="25"/>
      <c r="E858" s="25"/>
      <c r="F858" s="25"/>
      <c r="G858" s="27"/>
      <c r="H858" s="74"/>
      <c r="I858" s="25"/>
      <c r="J858" s="25"/>
      <c r="K858" s="25"/>
      <c r="L858" s="25"/>
    </row>
    <row r="859" spans="2:12" x14ac:dyDescent="0.2">
      <c r="B859" s="25"/>
      <c r="C859" s="25"/>
      <c r="D859" s="25"/>
      <c r="E859" s="25"/>
      <c r="F859" s="25"/>
      <c r="G859" s="27"/>
      <c r="H859" s="74"/>
      <c r="I859" s="25"/>
      <c r="J859" s="25"/>
      <c r="K859" s="25"/>
      <c r="L859" s="25"/>
    </row>
    <row r="860" spans="2:12" x14ac:dyDescent="0.2">
      <c r="B860" s="25"/>
      <c r="C860" s="25"/>
      <c r="D860" s="25"/>
      <c r="E860" s="25"/>
      <c r="F860" s="25"/>
      <c r="G860" s="27"/>
      <c r="H860" s="74"/>
      <c r="I860" s="25"/>
      <c r="J860" s="25"/>
      <c r="K860" s="25"/>
      <c r="L860" s="25"/>
    </row>
    <row r="861" spans="2:12" x14ac:dyDescent="0.2">
      <c r="B861" s="25"/>
      <c r="C861" s="25"/>
      <c r="D861" s="25"/>
      <c r="E861" s="25"/>
      <c r="F861" s="25"/>
      <c r="G861" s="27"/>
      <c r="H861" s="74"/>
      <c r="I861" s="25"/>
      <c r="J861" s="25"/>
      <c r="K861" s="25"/>
      <c r="L861" s="25"/>
    </row>
    <row r="862" spans="2:12" x14ac:dyDescent="0.2">
      <c r="B862" s="25"/>
      <c r="C862" s="25"/>
      <c r="D862" s="25"/>
      <c r="E862" s="25"/>
      <c r="F862" s="25"/>
      <c r="G862" s="27"/>
      <c r="H862" s="74"/>
      <c r="I862" s="25"/>
      <c r="J862" s="25"/>
      <c r="K862" s="25"/>
      <c r="L862" s="25"/>
    </row>
    <row r="863" spans="2:12" x14ac:dyDescent="0.2">
      <c r="B863" s="25"/>
      <c r="C863" s="25"/>
      <c r="D863" s="25"/>
      <c r="E863" s="25"/>
      <c r="F863" s="25"/>
      <c r="G863" s="27"/>
      <c r="H863" s="74"/>
      <c r="I863" s="25"/>
      <c r="J863" s="25"/>
      <c r="K863" s="25"/>
      <c r="L863" s="25"/>
    </row>
    <row r="864" spans="2:12" x14ac:dyDescent="0.2">
      <c r="B864" s="25"/>
      <c r="C864" s="25"/>
      <c r="D864" s="25"/>
      <c r="E864" s="25"/>
      <c r="F864" s="25"/>
      <c r="G864" s="27"/>
      <c r="H864" s="74"/>
      <c r="I864" s="25"/>
      <c r="J864" s="25"/>
      <c r="K864" s="25"/>
      <c r="L864" s="25"/>
    </row>
    <row r="865" spans="2:12" x14ac:dyDescent="0.2">
      <c r="B865" s="25"/>
      <c r="C865" s="25"/>
      <c r="D865" s="25"/>
      <c r="E865" s="25"/>
      <c r="F865" s="25"/>
      <c r="G865" s="27"/>
      <c r="H865" s="74"/>
      <c r="I865" s="25"/>
      <c r="J865" s="25"/>
      <c r="K865" s="25"/>
      <c r="L865" s="25"/>
    </row>
    <row r="866" spans="2:12" x14ac:dyDescent="0.2">
      <c r="B866" s="25"/>
      <c r="C866" s="25"/>
      <c r="D866" s="25"/>
      <c r="E866" s="25"/>
      <c r="F866" s="25"/>
      <c r="G866" s="27"/>
      <c r="H866" s="74"/>
      <c r="I866" s="25"/>
      <c r="J866" s="25"/>
      <c r="K866" s="25"/>
      <c r="L866" s="25"/>
    </row>
    <row r="867" spans="2:12" x14ac:dyDescent="0.2">
      <c r="B867" s="25"/>
      <c r="C867" s="25"/>
      <c r="D867" s="25"/>
      <c r="E867" s="25"/>
      <c r="F867" s="25"/>
      <c r="G867" s="27"/>
      <c r="H867" s="74"/>
      <c r="I867" s="25"/>
      <c r="J867" s="25"/>
      <c r="K867" s="25"/>
      <c r="L867" s="25"/>
    </row>
    <row r="868" spans="2:12" x14ac:dyDescent="0.2">
      <c r="B868" s="25"/>
      <c r="C868" s="25"/>
      <c r="D868" s="25"/>
      <c r="E868" s="25"/>
      <c r="F868" s="25"/>
      <c r="G868" s="27"/>
      <c r="H868" s="74"/>
      <c r="I868" s="25"/>
      <c r="J868" s="25"/>
      <c r="K868" s="25"/>
      <c r="L868" s="25"/>
    </row>
    <row r="869" spans="2:12" x14ac:dyDescent="0.2">
      <c r="B869" s="25"/>
      <c r="C869" s="25"/>
      <c r="D869" s="25"/>
      <c r="E869" s="25"/>
      <c r="F869" s="25"/>
      <c r="G869" s="27"/>
      <c r="H869" s="74"/>
      <c r="I869" s="25"/>
      <c r="J869" s="25"/>
      <c r="K869" s="25"/>
      <c r="L869" s="25"/>
    </row>
    <row r="870" spans="2:12" x14ac:dyDescent="0.2">
      <c r="B870" s="25"/>
      <c r="C870" s="25"/>
      <c r="D870" s="25"/>
      <c r="E870" s="25"/>
      <c r="F870" s="25"/>
      <c r="G870" s="27"/>
      <c r="H870" s="74"/>
      <c r="I870" s="25"/>
      <c r="J870" s="25"/>
      <c r="K870" s="25"/>
      <c r="L870" s="25"/>
    </row>
    <row r="871" spans="2:12" x14ac:dyDescent="0.2">
      <c r="B871" s="25"/>
      <c r="C871" s="25"/>
      <c r="D871" s="25"/>
      <c r="E871" s="25"/>
      <c r="F871" s="25"/>
      <c r="G871" s="27"/>
      <c r="H871" s="74"/>
      <c r="I871" s="25"/>
      <c r="J871" s="25"/>
      <c r="K871" s="25"/>
      <c r="L871" s="25"/>
    </row>
    <row r="872" spans="2:12" x14ac:dyDescent="0.2">
      <c r="B872" s="25"/>
      <c r="C872" s="25"/>
      <c r="D872" s="25"/>
      <c r="E872" s="25"/>
      <c r="F872" s="25"/>
      <c r="G872" s="27"/>
      <c r="H872" s="74"/>
      <c r="I872" s="25"/>
      <c r="J872" s="25"/>
      <c r="K872" s="25"/>
      <c r="L872" s="25"/>
    </row>
    <row r="873" spans="2:12" x14ac:dyDescent="0.2">
      <c r="B873" s="25"/>
      <c r="C873" s="25"/>
      <c r="D873" s="25"/>
      <c r="E873" s="25"/>
      <c r="F873" s="25"/>
      <c r="G873" s="27"/>
      <c r="H873" s="74"/>
      <c r="I873" s="25"/>
      <c r="J873" s="25"/>
      <c r="K873" s="25"/>
      <c r="L873" s="25"/>
    </row>
    <row r="874" spans="2:12" x14ac:dyDescent="0.2">
      <c r="B874" s="25"/>
      <c r="C874" s="25"/>
      <c r="D874" s="25"/>
      <c r="E874" s="25"/>
      <c r="F874" s="25"/>
      <c r="G874" s="27"/>
      <c r="H874" s="74"/>
      <c r="I874" s="25"/>
      <c r="J874" s="25"/>
      <c r="K874" s="25"/>
      <c r="L874" s="25"/>
    </row>
    <row r="875" spans="2:12" x14ac:dyDescent="0.2">
      <c r="B875" s="25"/>
      <c r="C875" s="25"/>
      <c r="D875" s="25"/>
      <c r="E875" s="25"/>
      <c r="F875" s="25"/>
      <c r="G875" s="27"/>
      <c r="H875" s="74"/>
      <c r="I875" s="25"/>
      <c r="J875" s="25"/>
      <c r="K875" s="25"/>
      <c r="L875" s="25"/>
    </row>
    <row r="876" spans="2:12" x14ac:dyDescent="0.2">
      <c r="B876" s="25"/>
      <c r="C876" s="25"/>
      <c r="D876" s="25"/>
      <c r="E876" s="25"/>
      <c r="F876" s="25"/>
      <c r="G876" s="27"/>
      <c r="H876" s="74"/>
      <c r="I876" s="25"/>
      <c r="J876" s="25"/>
      <c r="K876" s="25"/>
      <c r="L876" s="25"/>
    </row>
    <row r="877" spans="2:12" x14ac:dyDescent="0.2">
      <c r="B877" s="25"/>
      <c r="C877" s="25"/>
      <c r="D877" s="25"/>
      <c r="E877" s="25"/>
      <c r="F877" s="25"/>
      <c r="G877" s="27"/>
      <c r="H877" s="74"/>
      <c r="I877" s="25"/>
      <c r="J877" s="25"/>
      <c r="K877" s="25"/>
      <c r="L877" s="25"/>
    </row>
    <row r="878" spans="2:12" x14ac:dyDescent="0.2">
      <c r="B878" s="25"/>
      <c r="C878" s="25"/>
      <c r="D878" s="25"/>
      <c r="E878" s="25"/>
      <c r="F878" s="25"/>
      <c r="G878" s="27"/>
      <c r="H878" s="74"/>
      <c r="I878" s="25"/>
      <c r="J878" s="25"/>
      <c r="K878" s="25"/>
      <c r="L878" s="25"/>
    </row>
    <row r="879" spans="2:12" x14ac:dyDescent="0.2">
      <c r="B879" s="25"/>
      <c r="C879" s="25"/>
      <c r="D879" s="25"/>
      <c r="E879" s="25"/>
      <c r="F879" s="25"/>
      <c r="G879" s="27"/>
      <c r="H879" s="74"/>
      <c r="I879" s="25"/>
      <c r="J879" s="25"/>
      <c r="K879" s="25"/>
      <c r="L879" s="25"/>
    </row>
    <row r="880" spans="2:12" x14ac:dyDescent="0.2">
      <c r="B880" s="25"/>
      <c r="C880" s="25"/>
      <c r="D880" s="25"/>
      <c r="E880" s="25"/>
      <c r="F880" s="25"/>
      <c r="G880" s="27"/>
      <c r="H880" s="74"/>
      <c r="I880" s="25"/>
      <c r="J880" s="25"/>
      <c r="K880" s="25"/>
      <c r="L880" s="25"/>
    </row>
    <row r="881" spans="2:12" x14ac:dyDescent="0.2">
      <c r="B881" s="25"/>
      <c r="C881" s="25"/>
      <c r="D881" s="25"/>
      <c r="E881" s="25"/>
      <c r="F881" s="25"/>
      <c r="G881" s="27"/>
      <c r="H881" s="74"/>
      <c r="I881" s="25"/>
      <c r="J881" s="25"/>
      <c r="K881" s="25"/>
      <c r="L881" s="25"/>
    </row>
    <row r="882" spans="2:12" x14ac:dyDescent="0.2">
      <c r="B882" s="25"/>
      <c r="C882" s="25"/>
      <c r="D882" s="25"/>
      <c r="E882" s="25"/>
      <c r="F882" s="25"/>
      <c r="G882" s="27"/>
      <c r="H882" s="74"/>
      <c r="I882" s="25"/>
      <c r="J882" s="25"/>
      <c r="K882" s="25"/>
      <c r="L882" s="25"/>
    </row>
    <row r="883" spans="2:12" x14ac:dyDescent="0.2">
      <c r="B883" s="25"/>
      <c r="C883" s="25"/>
      <c r="D883" s="25"/>
      <c r="E883" s="25"/>
      <c r="F883" s="25"/>
      <c r="G883" s="27"/>
      <c r="H883" s="74"/>
      <c r="I883" s="25"/>
      <c r="J883" s="25"/>
      <c r="K883" s="25"/>
      <c r="L883" s="25"/>
    </row>
    <row r="884" spans="2:12" x14ac:dyDescent="0.2">
      <c r="B884" s="25"/>
      <c r="C884" s="25"/>
      <c r="D884" s="25"/>
      <c r="E884" s="25"/>
      <c r="F884" s="25"/>
      <c r="G884" s="27"/>
      <c r="H884" s="74"/>
      <c r="I884" s="25"/>
      <c r="J884" s="25"/>
      <c r="K884" s="25"/>
      <c r="L884" s="25"/>
    </row>
    <row r="885" spans="2:12" x14ac:dyDescent="0.2">
      <c r="B885" s="25"/>
      <c r="C885" s="25"/>
      <c r="D885" s="25"/>
      <c r="E885" s="25"/>
      <c r="F885" s="25"/>
      <c r="G885" s="27"/>
      <c r="H885" s="74"/>
      <c r="I885" s="25"/>
      <c r="J885" s="25"/>
      <c r="K885" s="25"/>
      <c r="L885" s="25"/>
    </row>
    <row r="886" spans="2:12" x14ac:dyDescent="0.2">
      <c r="B886" s="25"/>
      <c r="C886" s="25"/>
      <c r="D886" s="25"/>
      <c r="E886" s="25"/>
      <c r="F886" s="25"/>
      <c r="G886" s="27"/>
      <c r="H886" s="74"/>
      <c r="I886" s="25"/>
      <c r="J886" s="25"/>
      <c r="K886" s="25"/>
      <c r="L886" s="25"/>
    </row>
    <row r="887" spans="2:12" x14ac:dyDescent="0.2">
      <c r="B887" s="25"/>
      <c r="C887" s="25"/>
      <c r="D887" s="25"/>
      <c r="E887" s="25"/>
      <c r="F887" s="25"/>
      <c r="G887" s="27"/>
      <c r="H887" s="74"/>
      <c r="I887" s="25"/>
      <c r="J887" s="25"/>
      <c r="K887" s="25"/>
      <c r="L887" s="25"/>
    </row>
    <row r="888" spans="2:12" x14ac:dyDescent="0.2">
      <c r="B888" s="25"/>
      <c r="C888" s="25"/>
      <c r="D888" s="25"/>
      <c r="E888" s="25"/>
      <c r="F888" s="25"/>
      <c r="G888" s="27"/>
      <c r="H888" s="74"/>
      <c r="I888" s="25"/>
      <c r="J888" s="25"/>
      <c r="K888" s="25"/>
      <c r="L888" s="25"/>
    </row>
    <row r="889" spans="2:12" x14ac:dyDescent="0.2">
      <c r="B889" s="25"/>
      <c r="C889" s="25"/>
      <c r="D889" s="25"/>
      <c r="E889" s="25"/>
      <c r="F889" s="25"/>
      <c r="G889" s="27"/>
      <c r="H889" s="74"/>
      <c r="I889" s="25"/>
      <c r="J889" s="25"/>
      <c r="K889" s="25"/>
      <c r="L889" s="25"/>
    </row>
    <row r="890" spans="2:12" x14ac:dyDescent="0.2">
      <c r="B890" s="25"/>
      <c r="C890" s="25"/>
      <c r="D890" s="25"/>
      <c r="E890" s="25"/>
      <c r="F890" s="25"/>
      <c r="G890" s="27"/>
      <c r="H890" s="74"/>
      <c r="I890" s="25"/>
      <c r="J890" s="25"/>
      <c r="K890" s="25"/>
      <c r="L890" s="25"/>
    </row>
    <row r="891" spans="2:12" x14ac:dyDescent="0.2">
      <c r="B891" s="25"/>
      <c r="C891" s="25"/>
      <c r="D891" s="25"/>
      <c r="E891" s="25"/>
      <c r="F891" s="25"/>
      <c r="G891" s="27"/>
      <c r="H891" s="74"/>
      <c r="I891" s="25"/>
      <c r="J891" s="25"/>
      <c r="K891" s="25"/>
      <c r="L891" s="25"/>
    </row>
    <row r="892" spans="2:12" x14ac:dyDescent="0.2">
      <c r="B892" s="25"/>
      <c r="C892" s="25"/>
      <c r="D892" s="25"/>
      <c r="E892" s="25"/>
      <c r="F892" s="25"/>
      <c r="G892" s="27"/>
      <c r="H892" s="74"/>
      <c r="I892" s="25"/>
      <c r="J892" s="25"/>
      <c r="K892" s="25"/>
      <c r="L892" s="25"/>
    </row>
    <row r="893" spans="2:12" x14ac:dyDescent="0.2">
      <c r="B893" s="25"/>
      <c r="C893" s="25"/>
      <c r="D893" s="25"/>
      <c r="E893" s="25"/>
      <c r="F893" s="25"/>
      <c r="G893" s="27"/>
      <c r="H893" s="74"/>
      <c r="I893" s="25"/>
      <c r="J893" s="25"/>
      <c r="K893" s="25"/>
      <c r="L893" s="25"/>
    </row>
    <row r="894" spans="2:12" x14ac:dyDescent="0.2">
      <c r="B894" s="25"/>
      <c r="C894" s="25"/>
      <c r="D894" s="25"/>
      <c r="E894" s="25"/>
      <c r="F894" s="25"/>
      <c r="G894" s="27"/>
      <c r="H894" s="74"/>
      <c r="I894" s="25"/>
      <c r="J894" s="25"/>
      <c r="K894" s="25"/>
      <c r="L894" s="25"/>
    </row>
    <row r="895" spans="2:12" x14ac:dyDescent="0.2">
      <c r="B895" s="25"/>
      <c r="C895" s="25"/>
      <c r="D895" s="25"/>
      <c r="E895" s="25"/>
      <c r="F895" s="25"/>
      <c r="G895" s="27"/>
      <c r="H895" s="74"/>
      <c r="I895" s="25"/>
      <c r="J895" s="25"/>
      <c r="K895" s="25"/>
      <c r="L895" s="25"/>
    </row>
    <row r="896" spans="2:12" x14ac:dyDescent="0.2">
      <c r="B896" s="25"/>
      <c r="C896" s="25"/>
      <c r="D896" s="25"/>
      <c r="E896" s="25"/>
      <c r="F896" s="25"/>
      <c r="G896" s="27"/>
      <c r="H896" s="74"/>
      <c r="I896" s="25"/>
      <c r="J896" s="25"/>
      <c r="K896" s="25"/>
      <c r="L896" s="25"/>
    </row>
    <row r="897" spans="2:12" x14ac:dyDescent="0.2">
      <c r="B897" s="25"/>
      <c r="C897" s="25"/>
      <c r="D897" s="25"/>
      <c r="E897" s="25"/>
      <c r="F897" s="25"/>
      <c r="G897" s="27"/>
      <c r="H897" s="74"/>
      <c r="I897" s="25"/>
      <c r="J897" s="25"/>
      <c r="K897" s="25"/>
      <c r="L897" s="25"/>
    </row>
    <row r="898" spans="2:12" x14ac:dyDescent="0.2">
      <c r="B898" s="25"/>
      <c r="C898" s="25"/>
      <c r="D898" s="25"/>
      <c r="E898" s="25"/>
      <c r="F898" s="25"/>
      <c r="G898" s="27"/>
      <c r="H898" s="74"/>
      <c r="I898" s="25"/>
      <c r="J898" s="25"/>
      <c r="K898" s="25"/>
      <c r="L898" s="25"/>
    </row>
    <row r="899" spans="2:12" x14ac:dyDescent="0.2">
      <c r="B899" s="25"/>
      <c r="C899" s="25"/>
      <c r="D899" s="25"/>
      <c r="E899" s="25"/>
      <c r="F899" s="25"/>
      <c r="G899" s="27"/>
      <c r="H899" s="74"/>
      <c r="I899" s="25"/>
      <c r="J899" s="25"/>
      <c r="K899" s="25"/>
      <c r="L899" s="25"/>
    </row>
    <row r="900" spans="2:12" x14ac:dyDescent="0.2">
      <c r="B900" s="25"/>
      <c r="C900" s="25"/>
      <c r="D900" s="25"/>
      <c r="E900" s="25"/>
      <c r="F900" s="25"/>
      <c r="G900" s="27"/>
      <c r="H900" s="74"/>
      <c r="I900" s="25"/>
      <c r="J900" s="25"/>
      <c r="K900" s="25"/>
      <c r="L900" s="25"/>
    </row>
    <row r="901" spans="2:12" x14ac:dyDescent="0.2">
      <c r="B901" s="25"/>
      <c r="C901" s="25"/>
      <c r="D901" s="25"/>
      <c r="E901" s="25"/>
      <c r="F901" s="25"/>
      <c r="G901" s="27"/>
      <c r="H901" s="74"/>
      <c r="I901" s="25"/>
      <c r="J901" s="25"/>
      <c r="K901" s="25"/>
      <c r="L901" s="25"/>
    </row>
    <row r="902" spans="2:12" x14ac:dyDescent="0.2">
      <c r="B902" s="25"/>
      <c r="C902" s="25"/>
      <c r="D902" s="25"/>
      <c r="E902" s="25"/>
      <c r="F902" s="25"/>
      <c r="G902" s="27"/>
      <c r="H902" s="74"/>
      <c r="I902" s="25"/>
      <c r="J902" s="25"/>
      <c r="K902" s="25"/>
      <c r="L902" s="25"/>
    </row>
    <row r="903" spans="2:12" x14ac:dyDescent="0.2">
      <c r="B903" s="25"/>
      <c r="C903" s="25"/>
      <c r="D903" s="25"/>
      <c r="E903" s="25"/>
      <c r="F903" s="25"/>
      <c r="G903" s="27"/>
      <c r="H903" s="74"/>
      <c r="I903" s="25"/>
      <c r="J903" s="25"/>
      <c r="K903" s="25"/>
      <c r="L903" s="25"/>
    </row>
    <row r="904" spans="2:12" x14ac:dyDescent="0.2">
      <c r="B904" s="25"/>
      <c r="C904" s="25"/>
      <c r="D904" s="25"/>
      <c r="E904" s="25"/>
      <c r="F904" s="25"/>
      <c r="G904" s="27"/>
      <c r="H904" s="74"/>
      <c r="I904" s="25"/>
      <c r="J904" s="25"/>
      <c r="K904" s="25"/>
      <c r="L904" s="25"/>
    </row>
    <row r="905" spans="2:12" x14ac:dyDescent="0.2">
      <c r="B905" s="25"/>
      <c r="C905" s="25"/>
      <c r="D905" s="25"/>
      <c r="E905" s="25"/>
      <c r="F905" s="25"/>
      <c r="G905" s="27"/>
      <c r="H905" s="74"/>
      <c r="I905" s="25"/>
      <c r="J905" s="25"/>
      <c r="K905" s="25"/>
      <c r="L905" s="25"/>
    </row>
    <row r="906" spans="2:12" x14ac:dyDescent="0.2">
      <c r="B906" s="25"/>
      <c r="C906" s="25"/>
      <c r="D906" s="25"/>
      <c r="E906" s="25"/>
      <c r="F906" s="25"/>
      <c r="G906" s="27"/>
      <c r="H906" s="74"/>
      <c r="I906" s="25"/>
      <c r="J906" s="25"/>
      <c r="K906" s="25"/>
      <c r="L906" s="25"/>
    </row>
    <row r="907" spans="2:12" x14ac:dyDescent="0.2">
      <c r="B907" s="25"/>
      <c r="C907" s="25"/>
      <c r="D907" s="25"/>
      <c r="E907" s="25"/>
      <c r="F907" s="25"/>
      <c r="G907" s="27"/>
      <c r="H907" s="74"/>
      <c r="I907" s="25"/>
      <c r="J907" s="25"/>
      <c r="K907" s="25"/>
      <c r="L907" s="25"/>
    </row>
    <row r="908" spans="2:12" x14ac:dyDescent="0.2">
      <c r="B908" s="25"/>
      <c r="C908" s="25"/>
      <c r="D908" s="25"/>
      <c r="E908" s="25"/>
      <c r="F908" s="25"/>
      <c r="G908" s="27"/>
      <c r="H908" s="74"/>
      <c r="I908" s="25"/>
      <c r="J908" s="25"/>
      <c r="K908" s="25"/>
      <c r="L908" s="25"/>
    </row>
    <row r="909" spans="2:12" x14ac:dyDescent="0.2">
      <c r="B909" s="25"/>
      <c r="C909" s="25"/>
      <c r="D909" s="25"/>
      <c r="E909" s="25"/>
      <c r="F909" s="25"/>
      <c r="G909" s="27"/>
      <c r="H909" s="74"/>
      <c r="I909" s="25"/>
      <c r="J909" s="25"/>
      <c r="K909" s="25"/>
      <c r="L909" s="25"/>
    </row>
    <row r="910" spans="2:12" x14ac:dyDescent="0.2">
      <c r="B910" s="25"/>
      <c r="C910" s="25"/>
      <c r="D910" s="25"/>
      <c r="E910" s="25"/>
      <c r="F910" s="25"/>
      <c r="G910" s="27"/>
      <c r="H910" s="74"/>
      <c r="I910" s="25"/>
      <c r="J910" s="25"/>
      <c r="K910" s="25"/>
      <c r="L910" s="25"/>
    </row>
    <row r="911" spans="2:12" x14ac:dyDescent="0.2">
      <c r="B911" s="25"/>
      <c r="C911" s="25"/>
      <c r="D911" s="25"/>
      <c r="E911" s="25"/>
      <c r="F911" s="25"/>
      <c r="G911" s="27"/>
      <c r="H911" s="74"/>
      <c r="I911" s="25"/>
      <c r="J911" s="25"/>
      <c r="K911" s="25"/>
      <c r="L911" s="25"/>
    </row>
    <row r="912" spans="2:12" x14ac:dyDescent="0.2">
      <c r="B912" s="25"/>
      <c r="C912" s="25"/>
      <c r="D912" s="25"/>
      <c r="E912" s="25"/>
      <c r="F912" s="25"/>
      <c r="G912" s="27"/>
      <c r="H912" s="74"/>
      <c r="I912" s="25"/>
      <c r="J912" s="25"/>
      <c r="K912" s="25"/>
      <c r="L912" s="25"/>
    </row>
    <row r="913" spans="2:12" x14ac:dyDescent="0.2">
      <c r="B913" s="25"/>
      <c r="C913" s="25"/>
      <c r="D913" s="25"/>
      <c r="E913" s="25"/>
      <c r="F913" s="25"/>
      <c r="G913" s="27"/>
      <c r="H913" s="74"/>
      <c r="I913" s="25"/>
      <c r="J913" s="25"/>
      <c r="K913" s="25"/>
      <c r="L913" s="25"/>
    </row>
    <row r="914" spans="2:12" x14ac:dyDescent="0.2">
      <c r="B914" s="25"/>
      <c r="C914" s="25"/>
      <c r="D914" s="25"/>
      <c r="E914" s="25"/>
      <c r="F914" s="25"/>
      <c r="G914" s="27"/>
      <c r="H914" s="74"/>
      <c r="I914" s="25"/>
      <c r="J914" s="25"/>
      <c r="K914" s="25"/>
      <c r="L914" s="25"/>
    </row>
    <row r="915" spans="2:12" x14ac:dyDescent="0.2">
      <c r="B915" s="25"/>
      <c r="C915" s="25"/>
      <c r="D915" s="25"/>
      <c r="E915" s="25"/>
      <c r="F915" s="25"/>
      <c r="G915" s="27"/>
      <c r="H915" s="74"/>
      <c r="I915" s="25"/>
      <c r="J915" s="25"/>
      <c r="K915" s="25"/>
      <c r="L915" s="25"/>
    </row>
    <row r="916" spans="2:12" x14ac:dyDescent="0.2">
      <c r="B916" s="25"/>
      <c r="C916" s="25"/>
      <c r="D916" s="25"/>
      <c r="E916" s="25"/>
      <c r="F916" s="25"/>
      <c r="G916" s="27"/>
      <c r="H916" s="74"/>
      <c r="I916" s="25"/>
      <c r="J916" s="25"/>
      <c r="K916" s="25"/>
      <c r="L916" s="25"/>
    </row>
    <row r="917" spans="2:12" x14ac:dyDescent="0.2">
      <c r="B917" s="25"/>
      <c r="C917" s="25"/>
      <c r="D917" s="25"/>
      <c r="E917" s="25"/>
      <c r="F917" s="25"/>
      <c r="G917" s="27"/>
      <c r="H917" s="74"/>
      <c r="I917" s="25"/>
      <c r="J917" s="25"/>
      <c r="K917" s="25"/>
      <c r="L917" s="25"/>
    </row>
    <row r="918" spans="2:12" x14ac:dyDescent="0.2">
      <c r="B918" s="25"/>
      <c r="C918" s="25"/>
      <c r="D918" s="25"/>
      <c r="E918" s="25"/>
      <c r="F918" s="25"/>
      <c r="G918" s="27"/>
      <c r="H918" s="74"/>
      <c r="I918" s="25"/>
      <c r="J918" s="25"/>
      <c r="K918" s="25"/>
      <c r="L918" s="25"/>
    </row>
    <row r="919" spans="2:12" x14ac:dyDescent="0.2">
      <c r="B919" s="25"/>
      <c r="C919" s="25"/>
      <c r="D919" s="25"/>
      <c r="E919" s="25"/>
      <c r="F919" s="25"/>
      <c r="G919" s="27"/>
      <c r="H919" s="74"/>
      <c r="I919" s="25"/>
      <c r="J919" s="25"/>
      <c r="K919" s="25"/>
      <c r="L919" s="25"/>
    </row>
    <row r="920" spans="2:12" x14ac:dyDescent="0.2">
      <c r="B920" s="25"/>
      <c r="C920" s="25"/>
      <c r="D920" s="25"/>
      <c r="E920" s="25"/>
      <c r="F920" s="25"/>
      <c r="G920" s="27"/>
      <c r="H920" s="74"/>
      <c r="I920" s="25"/>
      <c r="J920" s="25"/>
      <c r="K920" s="25"/>
      <c r="L920" s="25"/>
    </row>
    <row r="921" spans="2:12" x14ac:dyDescent="0.2">
      <c r="B921" s="25"/>
      <c r="C921" s="25"/>
      <c r="D921" s="25"/>
      <c r="E921" s="25"/>
      <c r="F921" s="25"/>
      <c r="G921" s="27"/>
      <c r="H921" s="74"/>
      <c r="I921" s="25"/>
      <c r="J921" s="25"/>
      <c r="K921" s="25"/>
      <c r="L921" s="25"/>
    </row>
    <row r="922" spans="2:12" x14ac:dyDescent="0.2">
      <c r="B922" s="25"/>
      <c r="C922" s="25"/>
      <c r="D922" s="25"/>
      <c r="E922" s="25"/>
      <c r="F922" s="25"/>
      <c r="G922" s="27"/>
      <c r="H922" s="74"/>
      <c r="I922" s="25"/>
      <c r="J922" s="25"/>
      <c r="K922" s="25"/>
      <c r="L922" s="25"/>
    </row>
    <row r="923" spans="2:12" x14ac:dyDescent="0.2">
      <c r="B923" s="25"/>
      <c r="C923" s="25"/>
      <c r="D923" s="25"/>
      <c r="E923" s="25"/>
      <c r="F923" s="25"/>
      <c r="G923" s="27"/>
      <c r="H923" s="74"/>
      <c r="I923" s="25"/>
      <c r="J923" s="25"/>
      <c r="K923" s="25"/>
      <c r="L923" s="25"/>
    </row>
    <row r="924" spans="2:12" x14ac:dyDescent="0.2">
      <c r="B924" s="25"/>
      <c r="C924" s="25"/>
      <c r="D924" s="25"/>
      <c r="E924" s="25"/>
      <c r="F924" s="25"/>
      <c r="G924" s="27"/>
      <c r="H924" s="74"/>
      <c r="I924" s="25"/>
      <c r="J924" s="25"/>
      <c r="K924" s="25"/>
      <c r="L924" s="25"/>
    </row>
    <row r="925" spans="2:12" x14ac:dyDescent="0.2">
      <c r="B925" s="25"/>
      <c r="C925" s="25"/>
      <c r="D925" s="25"/>
      <c r="E925" s="25"/>
      <c r="F925" s="25"/>
      <c r="G925" s="27"/>
      <c r="H925" s="74"/>
      <c r="I925" s="25"/>
      <c r="J925" s="25"/>
      <c r="K925" s="25"/>
      <c r="L925" s="25"/>
    </row>
    <row r="926" spans="2:12" x14ac:dyDescent="0.2">
      <c r="B926" s="25"/>
      <c r="C926" s="25"/>
      <c r="D926" s="25"/>
      <c r="E926" s="25"/>
      <c r="F926" s="25"/>
      <c r="G926" s="27"/>
      <c r="H926" s="74"/>
      <c r="I926" s="25"/>
      <c r="J926" s="25"/>
      <c r="K926" s="25"/>
      <c r="L926" s="25"/>
    </row>
    <row r="927" spans="2:12" x14ac:dyDescent="0.2">
      <c r="B927" s="25"/>
      <c r="C927" s="25"/>
      <c r="D927" s="25"/>
      <c r="E927" s="25"/>
      <c r="F927" s="25"/>
      <c r="G927" s="27"/>
      <c r="H927" s="74"/>
      <c r="I927" s="25"/>
      <c r="J927" s="25"/>
      <c r="K927" s="25"/>
      <c r="L927" s="25"/>
    </row>
    <row r="928" spans="2:12" x14ac:dyDescent="0.2">
      <c r="B928" s="25"/>
      <c r="C928" s="25"/>
      <c r="D928" s="25"/>
      <c r="E928" s="25"/>
      <c r="F928" s="25"/>
      <c r="G928" s="27"/>
      <c r="H928" s="74"/>
      <c r="I928" s="25"/>
      <c r="J928" s="25"/>
      <c r="K928" s="25"/>
      <c r="L928" s="25"/>
    </row>
    <row r="929" spans="2:12" x14ac:dyDescent="0.2">
      <c r="B929" s="25"/>
      <c r="C929" s="25"/>
      <c r="D929" s="25"/>
      <c r="E929" s="25"/>
      <c r="F929" s="25"/>
      <c r="G929" s="27"/>
      <c r="H929" s="74"/>
      <c r="I929" s="25"/>
      <c r="J929" s="25"/>
      <c r="K929" s="25"/>
      <c r="L929" s="25"/>
    </row>
    <row r="930" spans="2:12" x14ac:dyDescent="0.2">
      <c r="B930" s="25"/>
      <c r="C930" s="25"/>
      <c r="D930" s="25"/>
      <c r="E930" s="25"/>
      <c r="F930" s="25"/>
      <c r="G930" s="27"/>
      <c r="H930" s="74"/>
      <c r="I930" s="25"/>
      <c r="J930" s="25"/>
      <c r="K930" s="25"/>
      <c r="L930" s="25"/>
    </row>
    <row r="931" spans="2:12" x14ac:dyDescent="0.2">
      <c r="B931" s="25"/>
      <c r="C931" s="25"/>
      <c r="D931" s="25"/>
      <c r="E931" s="25"/>
      <c r="F931" s="25"/>
      <c r="G931" s="27"/>
      <c r="H931" s="74"/>
      <c r="I931" s="25"/>
      <c r="J931" s="25"/>
      <c r="K931" s="25"/>
      <c r="L931" s="25"/>
    </row>
    <row r="932" spans="2:12" x14ac:dyDescent="0.2">
      <c r="B932" s="25"/>
      <c r="C932" s="25"/>
      <c r="D932" s="25"/>
      <c r="E932" s="25"/>
      <c r="F932" s="25"/>
      <c r="G932" s="27"/>
      <c r="H932" s="74"/>
      <c r="I932" s="25"/>
      <c r="J932" s="25"/>
      <c r="K932" s="25"/>
      <c r="L932" s="25"/>
    </row>
    <row r="933" spans="2:12" x14ac:dyDescent="0.2">
      <c r="B933" s="25"/>
      <c r="C933" s="25"/>
      <c r="D933" s="25"/>
      <c r="E933" s="25"/>
      <c r="F933" s="25"/>
      <c r="G933" s="27"/>
      <c r="H933" s="74"/>
      <c r="I933" s="25"/>
      <c r="J933" s="25"/>
      <c r="K933" s="25"/>
      <c r="L933" s="25"/>
    </row>
    <row r="934" spans="2:12" x14ac:dyDescent="0.2">
      <c r="B934" s="25"/>
      <c r="C934" s="25"/>
      <c r="D934" s="25"/>
      <c r="E934" s="25"/>
      <c r="F934" s="25"/>
      <c r="G934" s="27"/>
      <c r="H934" s="74"/>
      <c r="I934" s="25"/>
      <c r="J934" s="25"/>
      <c r="K934" s="25"/>
      <c r="L934" s="25"/>
    </row>
    <row r="935" spans="2:12" x14ac:dyDescent="0.2">
      <c r="B935" s="25"/>
      <c r="C935" s="25"/>
      <c r="D935" s="25"/>
      <c r="E935" s="25"/>
      <c r="F935" s="25"/>
      <c r="G935" s="27"/>
      <c r="H935" s="74"/>
      <c r="I935" s="25"/>
      <c r="J935" s="25"/>
      <c r="K935" s="25"/>
      <c r="L935" s="25"/>
    </row>
    <row r="936" spans="2:12" x14ac:dyDescent="0.2">
      <c r="B936" s="25"/>
      <c r="C936" s="25"/>
      <c r="D936" s="25"/>
      <c r="E936" s="25"/>
      <c r="F936" s="25"/>
      <c r="G936" s="27"/>
      <c r="H936" s="74"/>
      <c r="I936" s="25"/>
      <c r="J936" s="25"/>
      <c r="K936" s="25"/>
      <c r="L936" s="25"/>
    </row>
    <row r="937" spans="2:12" x14ac:dyDescent="0.2">
      <c r="B937" s="25"/>
      <c r="C937" s="25"/>
      <c r="D937" s="25"/>
      <c r="E937" s="25"/>
      <c r="F937" s="25"/>
      <c r="G937" s="27"/>
      <c r="H937" s="74"/>
      <c r="I937" s="25"/>
      <c r="J937" s="25"/>
      <c r="K937" s="25"/>
      <c r="L937" s="25"/>
    </row>
    <row r="938" spans="2:12" x14ac:dyDescent="0.2">
      <c r="B938" s="25"/>
      <c r="C938" s="25"/>
      <c r="D938" s="25"/>
      <c r="E938" s="25"/>
      <c r="F938" s="25"/>
      <c r="G938" s="27"/>
      <c r="H938" s="74"/>
      <c r="I938" s="25"/>
      <c r="J938" s="25"/>
      <c r="K938" s="25"/>
      <c r="L938" s="25"/>
    </row>
    <row r="939" spans="2:12" x14ac:dyDescent="0.2">
      <c r="B939" s="25"/>
      <c r="C939" s="25"/>
      <c r="D939" s="25"/>
      <c r="E939" s="25"/>
      <c r="F939" s="25"/>
      <c r="G939" s="27"/>
      <c r="H939" s="74"/>
      <c r="I939" s="25"/>
      <c r="J939" s="25"/>
      <c r="K939" s="25"/>
      <c r="L939" s="25"/>
    </row>
    <row r="940" spans="2:12" x14ac:dyDescent="0.2">
      <c r="B940" s="25"/>
      <c r="C940" s="25"/>
      <c r="D940" s="25"/>
      <c r="E940" s="25"/>
      <c r="F940" s="25"/>
      <c r="G940" s="27"/>
      <c r="H940" s="74"/>
      <c r="I940" s="25"/>
      <c r="J940" s="25"/>
      <c r="K940" s="25"/>
      <c r="L940" s="25"/>
    </row>
    <row r="941" spans="2:12" x14ac:dyDescent="0.2">
      <c r="B941" s="25"/>
      <c r="C941" s="25"/>
      <c r="D941" s="25"/>
      <c r="E941" s="25"/>
      <c r="F941" s="25"/>
      <c r="G941" s="27"/>
      <c r="H941" s="74"/>
      <c r="I941" s="25"/>
      <c r="J941" s="25"/>
      <c r="K941" s="25"/>
      <c r="L941" s="25"/>
    </row>
    <row r="942" spans="2:12" x14ac:dyDescent="0.2">
      <c r="B942" s="25"/>
      <c r="C942" s="25"/>
      <c r="D942" s="25"/>
      <c r="E942" s="25"/>
      <c r="F942" s="25"/>
      <c r="G942" s="27"/>
      <c r="H942" s="74"/>
      <c r="I942" s="25"/>
      <c r="J942" s="25"/>
      <c r="K942" s="25"/>
      <c r="L942" s="25"/>
    </row>
    <row r="943" spans="2:12" x14ac:dyDescent="0.2">
      <c r="B943" s="25"/>
      <c r="C943" s="25"/>
      <c r="D943" s="25"/>
      <c r="E943" s="25"/>
      <c r="F943" s="25"/>
      <c r="G943" s="27"/>
      <c r="H943" s="74"/>
      <c r="I943" s="25"/>
      <c r="J943" s="25"/>
      <c r="K943" s="25"/>
      <c r="L943" s="25"/>
    </row>
    <row r="944" spans="2:12" x14ac:dyDescent="0.2">
      <c r="B944" s="25"/>
      <c r="C944" s="25"/>
      <c r="D944" s="25"/>
      <c r="E944" s="25"/>
      <c r="F944" s="25"/>
      <c r="G944" s="27"/>
      <c r="H944" s="74"/>
      <c r="I944" s="25"/>
      <c r="J944" s="25"/>
      <c r="K944" s="25"/>
      <c r="L944" s="25"/>
    </row>
    <row r="945" spans="2:12" x14ac:dyDescent="0.2">
      <c r="B945" s="25"/>
      <c r="C945" s="25"/>
      <c r="D945" s="25"/>
      <c r="E945" s="25"/>
      <c r="F945" s="25"/>
      <c r="G945" s="27"/>
      <c r="H945" s="74"/>
      <c r="I945" s="25"/>
      <c r="J945" s="25"/>
      <c r="K945" s="25"/>
      <c r="L945" s="25"/>
    </row>
    <row r="946" spans="2:12" x14ac:dyDescent="0.2">
      <c r="B946" s="25"/>
      <c r="C946" s="25"/>
      <c r="D946" s="25"/>
      <c r="E946" s="25"/>
      <c r="F946" s="25"/>
      <c r="G946" s="27"/>
      <c r="H946" s="74"/>
      <c r="I946" s="25"/>
      <c r="J946" s="25"/>
      <c r="K946" s="25"/>
      <c r="L946" s="25"/>
    </row>
    <row r="947" spans="2:12" x14ac:dyDescent="0.2">
      <c r="B947" s="25"/>
      <c r="C947" s="25"/>
      <c r="D947" s="25"/>
      <c r="E947" s="25"/>
      <c r="F947" s="25"/>
      <c r="G947" s="27"/>
      <c r="H947" s="74"/>
      <c r="I947" s="25"/>
      <c r="J947" s="25"/>
      <c r="K947" s="25"/>
      <c r="L947" s="25"/>
    </row>
    <row r="948" spans="2:12" x14ac:dyDescent="0.2">
      <c r="B948" s="25"/>
      <c r="C948" s="25"/>
      <c r="D948" s="25"/>
      <c r="E948" s="25"/>
      <c r="F948" s="25"/>
      <c r="G948" s="27"/>
      <c r="H948" s="74"/>
      <c r="I948" s="25"/>
      <c r="J948" s="25"/>
      <c r="K948" s="25"/>
      <c r="L948" s="25"/>
    </row>
    <row r="949" spans="2:12" x14ac:dyDescent="0.2">
      <c r="B949" s="25"/>
      <c r="C949" s="25"/>
      <c r="D949" s="25"/>
      <c r="E949" s="25"/>
      <c r="F949" s="25"/>
      <c r="G949" s="27"/>
      <c r="H949" s="74"/>
      <c r="I949" s="25"/>
      <c r="J949" s="25"/>
      <c r="K949" s="25"/>
      <c r="L949" s="25"/>
    </row>
    <row r="950" spans="2:12" x14ac:dyDescent="0.2">
      <c r="B950" s="25"/>
      <c r="C950" s="25"/>
      <c r="D950" s="25"/>
      <c r="E950" s="25"/>
      <c r="F950" s="25"/>
      <c r="G950" s="27"/>
      <c r="H950" s="74"/>
      <c r="I950" s="25"/>
      <c r="J950" s="25"/>
      <c r="K950" s="25"/>
      <c r="L950" s="25"/>
    </row>
    <row r="951" spans="2:12" x14ac:dyDescent="0.2">
      <c r="B951" s="25"/>
      <c r="C951" s="25"/>
      <c r="D951" s="25"/>
      <c r="E951" s="25"/>
      <c r="F951" s="25"/>
      <c r="G951" s="27"/>
      <c r="H951" s="74"/>
      <c r="I951" s="25"/>
      <c r="J951" s="25"/>
      <c r="K951" s="25"/>
      <c r="L951" s="25"/>
    </row>
    <row r="952" spans="2:12" x14ac:dyDescent="0.2">
      <c r="B952" s="25"/>
      <c r="C952" s="25"/>
      <c r="D952" s="25"/>
      <c r="E952" s="25"/>
      <c r="F952" s="25"/>
      <c r="G952" s="27"/>
      <c r="H952" s="74"/>
      <c r="I952" s="25"/>
      <c r="J952" s="25"/>
      <c r="K952" s="25"/>
      <c r="L952" s="25"/>
    </row>
    <row r="953" spans="2:12" x14ac:dyDescent="0.2">
      <c r="B953" s="25"/>
      <c r="C953" s="25"/>
      <c r="D953" s="25"/>
      <c r="E953" s="25"/>
      <c r="F953" s="25"/>
      <c r="G953" s="27"/>
      <c r="H953" s="74"/>
      <c r="I953" s="25"/>
      <c r="J953" s="25"/>
      <c r="K953" s="25"/>
      <c r="L953" s="25"/>
    </row>
    <row r="954" spans="2:12" x14ac:dyDescent="0.2">
      <c r="B954" s="25"/>
      <c r="C954" s="25"/>
      <c r="D954" s="25"/>
      <c r="E954" s="25"/>
      <c r="F954" s="25"/>
      <c r="G954" s="27"/>
      <c r="H954" s="74"/>
      <c r="I954" s="25"/>
      <c r="J954" s="25"/>
      <c r="K954" s="25"/>
      <c r="L954" s="25"/>
    </row>
    <row r="955" spans="2:12" x14ac:dyDescent="0.2">
      <c r="B955" s="25"/>
      <c r="C955" s="25"/>
      <c r="D955" s="25"/>
      <c r="E955" s="25"/>
      <c r="F955" s="25"/>
      <c r="G955" s="27"/>
      <c r="H955" s="74"/>
      <c r="I955" s="25"/>
      <c r="J955" s="25"/>
      <c r="K955" s="25"/>
      <c r="L955" s="25"/>
    </row>
    <row r="956" spans="2:12" x14ac:dyDescent="0.2">
      <c r="B956" s="25"/>
      <c r="C956" s="25"/>
      <c r="D956" s="25"/>
      <c r="E956" s="25"/>
      <c r="F956" s="25"/>
      <c r="G956" s="27"/>
      <c r="H956" s="74"/>
      <c r="I956" s="25"/>
      <c r="J956" s="25"/>
      <c r="K956" s="25"/>
      <c r="L956" s="25"/>
    </row>
    <row r="957" spans="2:12" x14ac:dyDescent="0.2">
      <c r="B957" s="25"/>
      <c r="C957" s="25"/>
      <c r="D957" s="25"/>
      <c r="E957" s="25"/>
      <c r="F957" s="25"/>
      <c r="G957" s="27"/>
      <c r="H957" s="74"/>
      <c r="I957" s="25"/>
      <c r="J957" s="25"/>
      <c r="K957" s="25"/>
      <c r="L957" s="25"/>
    </row>
    <row r="958" spans="2:12" x14ac:dyDescent="0.2">
      <c r="B958" s="25"/>
      <c r="C958" s="25"/>
      <c r="D958" s="25"/>
      <c r="E958" s="25"/>
      <c r="F958" s="25"/>
      <c r="G958" s="27"/>
      <c r="H958" s="74"/>
      <c r="I958" s="25"/>
      <c r="J958" s="25"/>
      <c r="K958" s="25"/>
      <c r="L958" s="25"/>
    </row>
    <row r="959" spans="2:12" x14ac:dyDescent="0.2">
      <c r="B959" s="25"/>
      <c r="C959" s="25"/>
      <c r="D959" s="25"/>
      <c r="E959" s="25"/>
      <c r="F959" s="25"/>
      <c r="G959" s="27"/>
      <c r="H959" s="74"/>
      <c r="I959" s="25"/>
      <c r="J959" s="25"/>
      <c r="K959" s="25"/>
      <c r="L959" s="25"/>
    </row>
    <row r="960" spans="2:12" x14ac:dyDescent="0.2">
      <c r="B960" s="25"/>
      <c r="C960" s="25"/>
      <c r="D960" s="25"/>
      <c r="E960" s="25"/>
      <c r="F960" s="25"/>
      <c r="G960" s="27"/>
      <c r="H960" s="74"/>
      <c r="I960" s="25"/>
      <c r="J960" s="25"/>
      <c r="K960" s="25"/>
      <c r="L960" s="25"/>
    </row>
    <row r="961" spans="2:12" x14ac:dyDescent="0.2">
      <c r="B961" s="25"/>
      <c r="C961" s="25"/>
      <c r="D961" s="25"/>
      <c r="E961" s="25"/>
      <c r="F961" s="25"/>
      <c r="G961" s="27"/>
      <c r="H961" s="74"/>
      <c r="I961" s="25"/>
      <c r="J961" s="25"/>
      <c r="K961" s="25"/>
      <c r="L961" s="25"/>
    </row>
    <row r="962" spans="2:12" x14ac:dyDescent="0.2">
      <c r="B962" s="25"/>
      <c r="C962" s="25"/>
      <c r="D962" s="25"/>
      <c r="E962" s="25"/>
      <c r="F962" s="25"/>
      <c r="G962" s="27"/>
      <c r="H962" s="74"/>
      <c r="I962" s="25"/>
      <c r="J962" s="25"/>
      <c r="K962" s="25"/>
      <c r="L962" s="25"/>
    </row>
    <row r="963" spans="2:12" x14ac:dyDescent="0.2">
      <c r="B963" s="25"/>
      <c r="C963" s="25"/>
      <c r="D963" s="25"/>
      <c r="E963" s="25"/>
      <c r="F963" s="25"/>
      <c r="G963" s="27"/>
      <c r="H963" s="74"/>
      <c r="I963" s="25"/>
      <c r="J963" s="25"/>
      <c r="K963" s="25"/>
      <c r="L963" s="25"/>
    </row>
    <row r="964" spans="2:12" x14ac:dyDescent="0.2">
      <c r="B964" s="25"/>
      <c r="C964" s="25"/>
      <c r="D964" s="25"/>
      <c r="E964" s="25"/>
      <c r="F964" s="25"/>
      <c r="G964" s="27"/>
      <c r="H964" s="74"/>
      <c r="I964" s="25"/>
      <c r="J964" s="25"/>
      <c r="K964" s="25"/>
      <c r="L964" s="25"/>
    </row>
    <row r="965" spans="2:12" x14ac:dyDescent="0.2">
      <c r="B965" s="25"/>
      <c r="C965" s="25"/>
      <c r="D965" s="25"/>
      <c r="E965" s="25"/>
      <c r="F965" s="25"/>
      <c r="G965" s="27"/>
      <c r="H965" s="74"/>
      <c r="I965" s="25"/>
      <c r="J965" s="25"/>
      <c r="K965" s="25"/>
      <c r="L965" s="25"/>
    </row>
    <row r="966" spans="2:12" x14ac:dyDescent="0.2">
      <c r="B966" s="25"/>
      <c r="C966" s="25"/>
      <c r="D966" s="25"/>
      <c r="E966" s="25"/>
      <c r="F966" s="25"/>
      <c r="G966" s="27"/>
      <c r="H966" s="74"/>
      <c r="I966" s="25"/>
      <c r="J966" s="25"/>
      <c r="K966" s="25"/>
      <c r="L966" s="25"/>
    </row>
    <row r="967" spans="2:12" x14ac:dyDescent="0.2">
      <c r="B967" s="25"/>
      <c r="C967" s="25"/>
      <c r="D967" s="25"/>
      <c r="E967" s="25"/>
      <c r="F967" s="25"/>
      <c r="G967" s="27"/>
      <c r="H967" s="74"/>
      <c r="I967" s="25"/>
      <c r="J967" s="25"/>
      <c r="K967" s="25"/>
      <c r="L967" s="25"/>
    </row>
    <row r="968" spans="2:12" x14ac:dyDescent="0.2">
      <c r="B968" s="25"/>
      <c r="C968" s="25"/>
      <c r="D968" s="25"/>
      <c r="E968" s="25"/>
      <c r="F968" s="25"/>
      <c r="G968" s="27"/>
      <c r="H968" s="74"/>
      <c r="I968" s="25"/>
      <c r="J968" s="25"/>
      <c r="K968" s="25"/>
      <c r="L968" s="25"/>
    </row>
    <row r="969" spans="2:12" x14ac:dyDescent="0.2">
      <c r="B969" s="25"/>
      <c r="C969" s="25"/>
      <c r="D969" s="25"/>
      <c r="E969" s="25"/>
      <c r="F969" s="25"/>
      <c r="G969" s="27"/>
      <c r="H969" s="74"/>
      <c r="I969" s="25"/>
      <c r="J969" s="25"/>
      <c r="K969" s="25"/>
      <c r="L969" s="25"/>
    </row>
    <row r="970" spans="2:12" x14ac:dyDescent="0.2">
      <c r="B970" s="25"/>
      <c r="C970" s="25"/>
      <c r="D970" s="25"/>
      <c r="E970" s="25"/>
      <c r="F970" s="25"/>
      <c r="G970" s="27"/>
      <c r="H970" s="74"/>
      <c r="J970" s="25"/>
      <c r="K970" s="25"/>
      <c r="L970" s="25"/>
    </row>
    <row r="971" spans="2:12" x14ac:dyDescent="0.2">
      <c r="B971" s="25"/>
      <c r="C971" s="25"/>
      <c r="D971" s="25"/>
      <c r="E971" s="25"/>
      <c r="F971" s="25"/>
      <c r="G971" s="27"/>
      <c r="H971" s="74"/>
      <c r="J971" s="25"/>
      <c r="K971" s="25"/>
      <c r="L971" s="25"/>
    </row>
    <row r="972" spans="2:12" x14ac:dyDescent="0.2">
      <c r="B972" s="25"/>
      <c r="C972" s="25"/>
      <c r="D972" s="25"/>
      <c r="E972" s="25"/>
      <c r="F972" s="25"/>
      <c r="G972" s="27"/>
      <c r="H972" s="74"/>
      <c r="J972" s="25"/>
      <c r="K972" s="25"/>
      <c r="L972" s="25"/>
    </row>
    <row r="973" spans="2:12" x14ac:dyDescent="0.2">
      <c r="B973" s="25"/>
      <c r="C973" s="25"/>
      <c r="D973" s="25"/>
      <c r="E973" s="25"/>
      <c r="F973" s="25"/>
      <c r="G973" s="27"/>
      <c r="H973" s="74"/>
      <c r="J973" s="25"/>
      <c r="K973" s="25"/>
      <c r="L973" s="25"/>
    </row>
    <row r="974" spans="2:12" x14ac:dyDescent="0.2">
      <c r="B974" s="25"/>
      <c r="C974" s="25"/>
      <c r="D974" s="25"/>
      <c r="E974" s="25"/>
      <c r="F974" s="25"/>
      <c r="G974" s="27"/>
      <c r="H974" s="74"/>
      <c r="J974" s="25"/>
      <c r="K974" s="25"/>
      <c r="L974" s="25"/>
    </row>
    <row r="975" spans="2:12" x14ac:dyDescent="0.2">
      <c r="B975" s="25"/>
      <c r="C975" s="25"/>
      <c r="D975" s="25"/>
      <c r="E975" s="25"/>
      <c r="F975" s="25"/>
      <c r="G975" s="27"/>
      <c r="H975" s="74"/>
      <c r="J975" s="25"/>
      <c r="K975" s="25"/>
      <c r="L975" s="25"/>
    </row>
    <row r="976" spans="2:12" x14ac:dyDescent="0.2">
      <c r="B976" s="25"/>
      <c r="C976" s="25"/>
      <c r="D976" s="25"/>
      <c r="E976" s="25"/>
      <c r="F976" s="25"/>
      <c r="G976" s="27"/>
      <c r="H976" s="74"/>
      <c r="J976" s="25"/>
      <c r="K976" s="25"/>
      <c r="L976" s="25"/>
    </row>
    <row r="977" spans="2:12" x14ac:dyDescent="0.2">
      <c r="B977" s="25"/>
      <c r="C977" s="25"/>
      <c r="D977" s="25"/>
      <c r="E977" s="25"/>
      <c r="F977" s="25"/>
      <c r="G977" s="27"/>
      <c r="H977" s="74"/>
      <c r="J977" s="25"/>
      <c r="K977" s="25"/>
      <c r="L977" s="25"/>
    </row>
    <row r="978" spans="2:12" x14ac:dyDescent="0.2">
      <c r="B978" s="25"/>
      <c r="C978" s="25"/>
      <c r="D978" s="25"/>
      <c r="E978" s="25"/>
      <c r="F978" s="25"/>
      <c r="G978" s="27"/>
      <c r="H978" s="74"/>
      <c r="J978" s="25"/>
      <c r="K978" s="25"/>
      <c r="L978" s="25"/>
    </row>
    <row r="979" spans="2:12" x14ac:dyDescent="0.2">
      <c r="B979" s="25"/>
      <c r="C979" s="25"/>
      <c r="D979" s="25"/>
      <c r="E979" s="25"/>
      <c r="F979" s="25"/>
      <c r="G979" s="27"/>
      <c r="H979" s="74"/>
      <c r="J979" s="25"/>
      <c r="K979" s="25"/>
      <c r="L979" s="25"/>
    </row>
    <row r="980" spans="2:12" x14ac:dyDescent="0.2">
      <c r="B980" s="25"/>
      <c r="C980" s="25"/>
      <c r="D980" s="25"/>
      <c r="E980" s="25"/>
      <c r="F980" s="25"/>
      <c r="G980" s="27"/>
      <c r="H980" s="74"/>
      <c r="J980" s="25"/>
      <c r="K980" s="25"/>
      <c r="L980" s="25"/>
    </row>
    <row r="981" spans="2:12" x14ac:dyDescent="0.2">
      <c r="B981" s="25"/>
      <c r="C981" s="25"/>
      <c r="D981" s="25"/>
      <c r="E981" s="25"/>
      <c r="F981" s="25"/>
      <c r="G981" s="27"/>
      <c r="H981" s="74"/>
      <c r="J981" s="25"/>
      <c r="K981" s="25"/>
      <c r="L981" s="25"/>
    </row>
    <row r="982" spans="2:12" x14ac:dyDescent="0.2">
      <c r="B982" s="25"/>
      <c r="C982" s="25"/>
      <c r="D982" s="25"/>
      <c r="E982" s="25"/>
      <c r="F982" s="25"/>
      <c r="G982" s="27"/>
      <c r="H982" s="74"/>
      <c r="J982" s="25"/>
      <c r="K982" s="25"/>
      <c r="L982" s="25"/>
    </row>
    <row r="983" spans="2:12" x14ac:dyDescent="0.2">
      <c r="B983" s="25"/>
      <c r="C983" s="25"/>
      <c r="D983" s="25"/>
      <c r="E983" s="25"/>
      <c r="F983" s="25"/>
      <c r="G983" s="27"/>
      <c r="H983" s="74"/>
      <c r="J983" s="25"/>
      <c r="K983" s="25"/>
      <c r="L983" s="25"/>
    </row>
    <row r="984" spans="2:12" x14ac:dyDescent="0.2">
      <c r="B984" s="25"/>
      <c r="C984" s="25"/>
      <c r="D984" s="25"/>
      <c r="E984" s="25"/>
      <c r="F984" s="25"/>
      <c r="G984" s="27"/>
      <c r="H984" s="74"/>
      <c r="J984" s="25"/>
      <c r="K984" s="25"/>
      <c r="L984" s="25"/>
    </row>
    <row r="2983" spans="2:12" x14ac:dyDescent="0.2">
      <c r="B2983" s="25"/>
      <c r="C2983" s="25"/>
      <c r="D2983" s="25"/>
      <c r="E2983" s="25"/>
      <c r="F2983" s="25"/>
      <c r="G2983" s="27"/>
      <c r="H2983" s="25"/>
      <c r="I2983" s="25"/>
      <c r="L2983" s="25"/>
    </row>
    <row r="2998" spans="2:12" x14ac:dyDescent="0.2">
      <c r="B2998" s="25"/>
      <c r="C2998" s="75"/>
      <c r="D2998" s="75"/>
      <c r="H2998" s="74"/>
      <c r="J2998" s="25"/>
      <c r="K2998" s="25"/>
      <c r="L2998" s="25"/>
    </row>
    <row r="3002" spans="2:12" x14ac:dyDescent="0.2">
      <c r="B3002" s="25"/>
      <c r="C3002" s="25"/>
      <c r="D3002" s="25"/>
      <c r="E3002" s="25"/>
      <c r="F3002" s="25"/>
      <c r="G3002" s="27"/>
      <c r="H3002" s="25"/>
      <c r="I3002" s="25"/>
      <c r="L3002" s="25"/>
    </row>
    <row r="3017" spans="2:9" x14ac:dyDescent="0.2">
      <c r="B3017" s="25"/>
      <c r="C3017" s="75"/>
      <c r="D3017" s="75"/>
      <c r="H3017" s="25"/>
    </row>
    <row r="3022" spans="2:9" x14ac:dyDescent="0.2">
      <c r="B3022" s="25"/>
      <c r="I3022" s="25"/>
    </row>
    <row r="3037" spans="2:12" x14ac:dyDescent="0.2">
      <c r="B3037" s="25"/>
      <c r="C3037" s="75"/>
      <c r="D3037" s="75"/>
      <c r="H3037" s="74"/>
      <c r="J3037" s="25"/>
      <c r="K3037" s="25"/>
      <c r="L3037" s="25"/>
    </row>
  </sheetData>
  <mergeCells count="239">
    <mergeCell ref="G825:I825"/>
    <mergeCell ref="G826:I826"/>
    <mergeCell ref="G827:I827"/>
    <mergeCell ref="H828:I828"/>
    <mergeCell ref="D834:I834"/>
    <mergeCell ref="D835:I835"/>
    <mergeCell ref="G819:I819"/>
    <mergeCell ref="G820:I820"/>
    <mergeCell ref="G821:I821"/>
    <mergeCell ref="G822:I822"/>
    <mergeCell ref="G823:I823"/>
    <mergeCell ref="G824:I824"/>
    <mergeCell ref="G813:I813"/>
    <mergeCell ref="G814:I814"/>
    <mergeCell ref="G815:I815"/>
    <mergeCell ref="G816:I816"/>
    <mergeCell ref="G817:I817"/>
    <mergeCell ref="G818:I818"/>
    <mergeCell ref="B808:K808"/>
    <mergeCell ref="B809:C809"/>
    <mergeCell ref="D809:F809"/>
    <mergeCell ref="G810:J810"/>
    <mergeCell ref="G811:I811"/>
    <mergeCell ref="G812:I812"/>
    <mergeCell ref="H749:I749"/>
    <mergeCell ref="H750:I750"/>
    <mergeCell ref="H751:I751"/>
    <mergeCell ref="B757:L757"/>
    <mergeCell ref="B758:L758"/>
    <mergeCell ref="B759:C759"/>
    <mergeCell ref="D759:F759"/>
    <mergeCell ref="G743:I743"/>
    <mergeCell ref="G744:I744"/>
    <mergeCell ref="G745:I745"/>
    <mergeCell ref="G746:I746"/>
    <mergeCell ref="G747:I747"/>
    <mergeCell ref="H748:I748"/>
    <mergeCell ref="G737:J737"/>
    <mergeCell ref="G738:I738"/>
    <mergeCell ref="G739:I739"/>
    <mergeCell ref="G740:I740"/>
    <mergeCell ref="G741:I741"/>
    <mergeCell ref="G742:I742"/>
    <mergeCell ref="B697:L697"/>
    <mergeCell ref="B698:L698"/>
    <mergeCell ref="B699:C699"/>
    <mergeCell ref="D699:F699"/>
    <mergeCell ref="B735:K735"/>
    <mergeCell ref="B736:C736"/>
    <mergeCell ref="D736:F736"/>
    <mergeCell ref="G685:I685"/>
    <mergeCell ref="G686:I686"/>
    <mergeCell ref="G687:I687"/>
    <mergeCell ref="G688:I688"/>
    <mergeCell ref="G689:I689"/>
    <mergeCell ref="G690:I690"/>
    <mergeCell ref="G679:I679"/>
    <mergeCell ref="G680:I680"/>
    <mergeCell ref="G681:I681"/>
    <mergeCell ref="G682:I682"/>
    <mergeCell ref="G683:I683"/>
    <mergeCell ref="G684:I684"/>
    <mergeCell ref="B674:K674"/>
    <mergeCell ref="B675:C675"/>
    <mergeCell ref="D675:F675"/>
    <mergeCell ref="G676:J676"/>
    <mergeCell ref="G677:I677"/>
    <mergeCell ref="G678:I678"/>
    <mergeCell ref="G623:I623"/>
    <mergeCell ref="G624:I624"/>
    <mergeCell ref="G625:I625"/>
    <mergeCell ref="B631:L631"/>
    <mergeCell ref="B632:L632"/>
    <mergeCell ref="B633:C633"/>
    <mergeCell ref="D633:F633"/>
    <mergeCell ref="G616:J616"/>
    <mergeCell ref="G618:I618"/>
    <mergeCell ref="G619:I619"/>
    <mergeCell ref="G620:I620"/>
    <mergeCell ref="G621:I621"/>
    <mergeCell ref="G622:I622"/>
    <mergeCell ref="B563:L563"/>
    <mergeCell ref="B564:C564"/>
    <mergeCell ref="D564:F564"/>
    <mergeCell ref="B614:K614"/>
    <mergeCell ref="B615:C615"/>
    <mergeCell ref="D615:F615"/>
    <mergeCell ref="G548:I548"/>
    <mergeCell ref="G549:I549"/>
    <mergeCell ref="G552:I552"/>
    <mergeCell ref="H553:I553"/>
    <mergeCell ref="G554:I554"/>
    <mergeCell ref="B562:L562"/>
    <mergeCell ref="G542:I542"/>
    <mergeCell ref="G543:I543"/>
    <mergeCell ref="G544:I544"/>
    <mergeCell ref="H545:I545"/>
    <mergeCell ref="H546:I546"/>
    <mergeCell ref="G547:H547"/>
    <mergeCell ref="G536:I536"/>
    <mergeCell ref="G537:I537"/>
    <mergeCell ref="G538:I538"/>
    <mergeCell ref="G539:I539"/>
    <mergeCell ref="G540:I540"/>
    <mergeCell ref="G541:I541"/>
    <mergeCell ref="B531:K531"/>
    <mergeCell ref="B532:C532"/>
    <mergeCell ref="D532:F532"/>
    <mergeCell ref="G533:J533"/>
    <mergeCell ref="G534:I534"/>
    <mergeCell ref="G535:I535"/>
    <mergeCell ref="G479:I479"/>
    <mergeCell ref="G480:I480"/>
    <mergeCell ref="H481:I481"/>
    <mergeCell ref="B486:L486"/>
    <mergeCell ref="B487:L487"/>
    <mergeCell ref="B488:C488"/>
    <mergeCell ref="D488:F488"/>
    <mergeCell ref="G473:I473"/>
    <mergeCell ref="G474:I474"/>
    <mergeCell ref="G475:I475"/>
    <mergeCell ref="G476:I476"/>
    <mergeCell ref="G477:I477"/>
    <mergeCell ref="G478:I478"/>
    <mergeCell ref="B426:C426"/>
    <mergeCell ref="D426:F426"/>
    <mergeCell ref="B470:K470"/>
    <mergeCell ref="B471:C471"/>
    <mergeCell ref="D471:F471"/>
    <mergeCell ref="G472:J472"/>
    <mergeCell ref="G409:I409"/>
    <mergeCell ref="H410:I410"/>
    <mergeCell ref="H411:I411"/>
    <mergeCell ref="H412:I412"/>
    <mergeCell ref="B424:L424"/>
    <mergeCell ref="B425:L425"/>
    <mergeCell ref="G402:I402"/>
    <mergeCell ref="G404:I404"/>
    <mergeCell ref="G405:I405"/>
    <mergeCell ref="G406:I406"/>
    <mergeCell ref="G407:I407"/>
    <mergeCell ref="G408:I408"/>
    <mergeCell ref="B363:C363"/>
    <mergeCell ref="D363:F363"/>
    <mergeCell ref="B399:K399"/>
    <mergeCell ref="B400:C400"/>
    <mergeCell ref="D400:F400"/>
    <mergeCell ref="G401:J401"/>
    <mergeCell ref="H348:I348"/>
    <mergeCell ref="H349:I349"/>
    <mergeCell ref="G350:I350"/>
    <mergeCell ref="G351:I351"/>
    <mergeCell ref="B361:L361"/>
    <mergeCell ref="B362:L362"/>
    <mergeCell ref="B343:K343"/>
    <mergeCell ref="B344:C344"/>
    <mergeCell ref="D344:F344"/>
    <mergeCell ref="G345:J345"/>
    <mergeCell ref="G346:I346"/>
    <mergeCell ref="H347:I347"/>
    <mergeCell ref="H282:I282"/>
    <mergeCell ref="G283:I283"/>
    <mergeCell ref="B297:L297"/>
    <mergeCell ref="B298:L298"/>
    <mergeCell ref="B299:C299"/>
    <mergeCell ref="D299:F299"/>
    <mergeCell ref="B277:C277"/>
    <mergeCell ref="D277:F277"/>
    <mergeCell ref="G278:J278"/>
    <mergeCell ref="G279:I279"/>
    <mergeCell ref="H280:I280"/>
    <mergeCell ref="H281:I281"/>
    <mergeCell ref="G214:I214"/>
    <mergeCell ref="B222:L222"/>
    <mergeCell ref="B223:L223"/>
    <mergeCell ref="B224:C224"/>
    <mergeCell ref="D224:F224"/>
    <mergeCell ref="B276:K276"/>
    <mergeCell ref="H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H206:I206"/>
    <mergeCell ref="H207:I207"/>
    <mergeCell ref="G196:I196"/>
    <mergeCell ref="G197:I197"/>
    <mergeCell ref="G198:I198"/>
    <mergeCell ref="G199:I199"/>
    <mergeCell ref="G200:I200"/>
    <mergeCell ref="G201:I201"/>
    <mergeCell ref="G190:I190"/>
    <mergeCell ref="G191:I191"/>
    <mergeCell ref="G192:I192"/>
    <mergeCell ref="G193:I193"/>
    <mergeCell ref="G194:I194"/>
    <mergeCell ref="G195:I195"/>
    <mergeCell ref="B140:C140"/>
    <mergeCell ref="D140:F140"/>
    <mergeCell ref="B187:K187"/>
    <mergeCell ref="B188:C188"/>
    <mergeCell ref="D188:F188"/>
    <mergeCell ref="G189:J189"/>
    <mergeCell ref="H122:I122"/>
    <mergeCell ref="H123:I123"/>
    <mergeCell ref="H124:I124"/>
    <mergeCell ref="G125:I125"/>
    <mergeCell ref="B138:L138"/>
    <mergeCell ref="B139:L139"/>
    <mergeCell ref="B117:K117"/>
    <mergeCell ref="B118:C118"/>
    <mergeCell ref="D118:F118"/>
    <mergeCell ref="G119:J119"/>
    <mergeCell ref="G120:I120"/>
    <mergeCell ref="G121:I121"/>
    <mergeCell ref="B73:L73"/>
    <mergeCell ref="B74:L74"/>
    <mergeCell ref="B75:C75"/>
    <mergeCell ref="D75:F75"/>
    <mergeCell ref="G59:J59"/>
    <mergeCell ref="G61:I61"/>
    <mergeCell ref="G62:J62"/>
    <mergeCell ref="H63:J63"/>
    <mergeCell ref="H64:J64"/>
    <mergeCell ref="H65:J65"/>
    <mergeCell ref="B2:L2"/>
    <mergeCell ref="B3:L3"/>
    <mergeCell ref="B4:C4"/>
    <mergeCell ref="D4:F4"/>
    <mergeCell ref="B57:K57"/>
    <mergeCell ref="B58:C58"/>
    <mergeCell ref="D58:F58"/>
    <mergeCell ref="G66:J66"/>
    <mergeCell ref="G67:I6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P3057"/>
  <sheetViews>
    <sheetView topLeftCell="A861" zoomScaleNormal="100" workbookViewId="0">
      <selection activeCell="G313" sqref="G313"/>
    </sheetView>
  </sheetViews>
  <sheetFormatPr baseColWidth="10" defaultColWidth="11.42578125" defaultRowHeight="12" x14ac:dyDescent="0.2"/>
  <cols>
    <col min="1" max="1" width="4.7109375" style="26" customWidth="1"/>
    <col min="2" max="2" width="10.42578125" style="26" customWidth="1"/>
    <col min="3" max="3" width="21" style="26" customWidth="1"/>
    <col min="4" max="4" width="14.140625" style="26" customWidth="1"/>
    <col min="5" max="5" width="10.28515625" style="26" customWidth="1"/>
    <col min="6" max="6" width="10.85546875" style="26" customWidth="1"/>
    <col min="7" max="7" width="12.85546875" style="26" customWidth="1"/>
    <col min="8" max="8" width="11.140625" style="26" customWidth="1"/>
    <col min="9" max="10" width="14.140625" style="26" customWidth="1"/>
    <col min="11" max="11" width="9.140625" style="26" customWidth="1"/>
    <col min="12" max="16384" width="11.42578125" style="26"/>
  </cols>
  <sheetData>
    <row r="2" spans="2:14" x14ac:dyDescent="0.2">
      <c r="B2" s="544" t="s">
        <v>48</v>
      </c>
      <c r="C2" s="545"/>
      <c r="D2" s="545"/>
      <c r="E2" s="545"/>
      <c r="F2" s="545"/>
      <c r="G2" s="545"/>
      <c r="H2" s="545"/>
      <c r="I2" s="545"/>
      <c r="J2" s="545"/>
      <c r="K2" s="545"/>
      <c r="L2" s="546"/>
    </row>
    <row r="3" spans="2:14" x14ac:dyDescent="0.2">
      <c r="B3" s="547" t="s">
        <v>49</v>
      </c>
      <c r="C3" s="548"/>
      <c r="D3" s="548"/>
      <c r="E3" s="548"/>
      <c r="F3" s="548"/>
      <c r="G3" s="548"/>
      <c r="H3" s="548"/>
      <c r="I3" s="548"/>
      <c r="J3" s="548"/>
      <c r="K3" s="548"/>
      <c r="L3" s="549"/>
    </row>
    <row r="4" spans="2:14" ht="15" customHeight="1" x14ac:dyDescent="0.2">
      <c r="B4" s="550" t="s">
        <v>50</v>
      </c>
      <c r="C4" s="550"/>
      <c r="D4" s="551" t="s">
        <v>51</v>
      </c>
      <c r="E4" s="551"/>
      <c r="F4" s="551"/>
      <c r="G4" s="79"/>
      <c r="H4" s="79"/>
      <c r="I4" s="79"/>
      <c r="J4" s="79"/>
      <c r="K4" s="79"/>
      <c r="L4" s="80"/>
    </row>
    <row r="5" spans="2:14" ht="30" customHeight="1" x14ac:dyDescent="0.2">
      <c r="B5" s="56" t="s">
        <v>1</v>
      </c>
      <c r="C5" s="57" t="s">
        <v>2</v>
      </c>
      <c r="D5" s="57" t="s">
        <v>2</v>
      </c>
      <c r="E5" s="5" t="s">
        <v>3</v>
      </c>
      <c r="F5" s="5" t="s">
        <v>4</v>
      </c>
      <c r="G5" s="89" t="s">
        <v>6</v>
      </c>
      <c r="H5" s="83" t="s">
        <v>7</v>
      </c>
      <c r="I5" s="83" t="s">
        <v>52</v>
      </c>
      <c r="J5" s="83" t="s">
        <v>53</v>
      </c>
      <c r="K5" s="5" t="s">
        <v>10</v>
      </c>
      <c r="L5" s="5" t="s">
        <v>11</v>
      </c>
    </row>
    <row r="6" spans="2:14" x14ac:dyDescent="0.2">
      <c r="B6" s="58"/>
      <c r="C6" s="59"/>
      <c r="D6" s="59"/>
      <c r="E6" s="13"/>
      <c r="F6" s="13"/>
      <c r="G6" s="24"/>
      <c r="H6" s="60"/>
      <c r="I6" s="61"/>
      <c r="J6" s="61"/>
      <c r="K6" s="61"/>
      <c r="L6" s="60">
        <f>'PERIODO 2019'!I850</f>
        <v>70804.200000000026</v>
      </c>
    </row>
    <row r="7" spans="2:14" x14ac:dyDescent="0.2">
      <c r="B7" s="110">
        <v>43832</v>
      </c>
      <c r="C7" s="111" t="s">
        <v>728</v>
      </c>
      <c r="D7" s="11"/>
      <c r="E7" s="15"/>
      <c r="F7" s="15" t="s">
        <v>75</v>
      </c>
      <c r="G7" s="15"/>
      <c r="H7" s="112">
        <v>4228</v>
      </c>
      <c r="I7" s="12">
        <f>H7*0.32</f>
        <v>1352.96</v>
      </c>
      <c r="J7" s="12">
        <f>H7*0.68</f>
        <v>2875.0400000000004</v>
      </c>
      <c r="K7" s="12"/>
      <c r="L7" s="63">
        <f>+J7-K7+L6</f>
        <v>73679.24000000002</v>
      </c>
      <c r="M7" s="417">
        <f>H7-[1]ENERO!$K$32</f>
        <v>-236</v>
      </c>
      <c r="N7" s="26">
        <v>236</v>
      </c>
    </row>
    <row r="8" spans="2:14" x14ac:dyDescent="0.2">
      <c r="B8" s="110">
        <v>43833</v>
      </c>
      <c r="C8" s="111" t="s">
        <v>728</v>
      </c>
      <c r="D8" s="11"/>
      <c r="E8" s="15"/>
      <c r="F8" s="15" t="s">
        <v>75</v>
      </c>
      <c r="G8" s="15"/>
      <c r="H8" s="112">
        <v>4747</v>
      </c>
      <c r="I8" s="12">
        <f t="shared" ref="I8:I56" si="0">H8*0.32</f>
        <v>1519.04</v>
      </c>
      <c r="J8" s="12">
        <f t="shared" ref="J8:J56" si="1">H8*0.68</f>
        <v>3227.96</v>
      </c>
      <c r="K8" s="12"/>
      <c r="L8" s="63">
        <f t="shared" ref="L8:L72" si="2">+J8-K8+L7</f>
        <v>76907.200000000026</v>
      </c>
      <c r="M8" s="417">
        <f>H8-[1]ENERO!$K$77</f>
        <v>-5109</v>
      </c>
      <c r="N8" s="26">
        <v>5109</v>
      </c>
    </row>
    <row r="9" spans="2:14" x14ac:dyDescent="0.2">
      <c r="B9" s="110">
        <v>43834</v>
      </c>
      <c r="C9" s="111" t="s">
        <v>728</v>
      </c>
      <c r="D9" s="11"/>
      <c r="E9" s="15"/>
      <c r="F9" s="15" t="s">
        <v>75</v>
      </c>
      <c r="G9" s="15"/>
      <c r="H9" s="112">
        <v>634</v>
      </c>
      <c r="I9" s="12">
        <f t="shared" si="0"/>
        <v>202.88</v>
      </c>
      <c r="J9" s="12">
        <f t="shared" si="1"/>
        <v>431.12</v>
      </c>
      <c r="K9" s="12"/>
      <c r="L9" s="63">
        <f t="shared" si="2"/>
        <v>77338.320000000022</v>
      </c>
      <c r="M9" s="417">
        <f>H9-[1]ENERO!$K$87</f>
        <v>-1032</v>
      </c>
      <c r="N9" s="26">
        <v>1032</v>
      </c>
    </row>
    <row r="10" spans="2:14" x14ac:dyDescent="0.2">
      <c r="B10" s="110">
        <v>43836</v>
      </c>
      <c r="C10" s="111" t="s">
        <v>728</v>
      </c>
      <c r="D10" s="77"/>
      <c r="E10" s="15"/>
      <c r="F10" s="15" t="s">
        <v>75</v>
      </c>
      <c r="G10" s="66"/>
      <c r="H10" s="112">
        <v>3539</v>
      </c>
      <c r="I10" s="12">
        <f t="shared" si="0"/>
        <v>1132.48</v>
      </c>
      <c r="J10" s="12">
        <f t="shared" si="1"/>
        <v>2406.52</v>
      </c>
      <c r="K10" s="12"/>
      <c r="L10" s="63">
        <f t="shared" si="2"/>
        <v>79744.840000000026</v>
      </c>
      <c r="M10" s="417">
        <f>H10-[1]ENERO!$K$137</f>
        <v>-5493</v>
      </c>
      <c r="N10" s="26">
        <v>5493</v>
      </c>
    </row>
    <row r="11" spans="2:14" x14ac:dyDescent="0.2">
      <c r="B11" s="110">
        <v>43837</v>
      </c>
      <c r="C11" s="111" t="s">
        <v>728</v>
      </c>
      <c r="D11" s="11"/>
      <c r="E11" s="15"/>
      <c r="F11" s="15" t="s">
        <v>75</v>
      </c>
      <c r="G11" s="15"/>
      <c r="H11" s="112">
        <v>2484</v>
      </c>
      <c r="I11" s="12">
        <f t="shared" si="0"/>
        <v>794.88</v>
      </c>
      <c r="J11" s="12">
        <f t="shared" si="1"/>
        <v>1689.1200000000001</v>
      </c>
      <c r="K11" s="12"/>
      <c r="L11" s="63">
        <f t="shared" si="2"/>
        <v>81433.960000000021</v>
      </c>
      <c r="M11" s="417">
        <f>H11-[1]ENERO!$K$160</f>
        <v>-2543</v>
      </c>
      <c r="N11" s="26">
        <v>2543</v>
      </c>
    </row>
    <row r="12" spans="2:14" x14ac:dyDescent="0.2">
      <c r="B12" s="110">
        <v>43838</v>
      </c>
      <c r="C12" s="111" t="s">
        <v>728</v>
      </c>
      <c r="D12" s="11"/>
      <c r="E12" s="15"/>
      <c r="F12" s="15" t="s">
        <v>75</v>
      </c>
      <c r="G12" s="15"/>
      <c r="H12" s="112">
        <v>2052</v>
      </c>
      <c r="I12" s="12">
        <f t="shared" si="0"/>
        <v>656.64</v>
      </c>
      <c r="J12" s="12">
        <f t="shared" si="1"/>
        <v>1395.3600000000001</v>
      </c>
      <c r="K12" s="12"/>
      <c r="L12" s="63">
        <f t="shared" si="2"/>
        <v>82829.320000000022</v>
      </c>
      <c r="M12" s="417">
        <f>H12-[1]ENERO!$K$185</f>
        <v>-2004</v>
      </c>
      <c r="N12" s="26">
        <v>2004</v>
      </c>
    </row>
    <row r="13" spans="2:14" x14ac:dyDescent="0.2">
      <c r="B13" s="110">
        <v>43839</v>
      </c>
      <c r="C13" s="111" t="s">
        <v>728</v>
      </c>
      <c r="D13" s="11"/>
      <c r="E13" s="15"/>
      <c r="F13" s="15" t="s">
        <v>75</v>
      </c>
      <c r="G13" s="15"/>
      <c r="H13" s="112">
        <v>5341</v>
      </c>
      <c r="I13" s="12">
        <f t="shared" si="0"/>
        <v>1709.1200000000001</v>
      </c>
      <c r="J13" s="12">
        <f t="shared" si="1"/>
        <v>3631.88</v>
      </c>
      <c r="K13" s="12"/>
      <c r="L13" s="63">
        <f t="shared" si="2"/>
        <v>86461.200000000026</v>
      </c>
      <c r="M13" s="417">
        <f>H13-[1]ENERO!$K$220</f>
        <v>-1529</v>
      </c>
      <c r="N13" s="26">
        <v>1529</v>
      </c>
    </row>
    <row r="14" spans="2:14" x14ac:dyDescent="0.2">
      <c r="B14" s="110">
        <v>43840</v>
      </c>
      <c r="C14" s="111" t="s">
        <v>728</v>
      </c>
      <c r="D14" s="11"/>
      <c r="E14" s="15"/>
      <c r="F14" s="15" t="s">
        <v>75</v>
      </c>
      <c r="G14" s="15"/>
      <c r="H14" s="112">
        <v>7833</v>
      </c>
      <c r="I14" s="12">
        <f t="shared" si="0"/>
        <v>2506.56</v>
      </c>
      <c r="J14" s="12">
        <f t="shared" si="1"/>
        <v>5326.4400000000005</v>
      </c>
      <c r="K14" s="12"/>
      <c r="L14" s="63">
        <f t="shared" si="2"/>
        <v>91787.640000000029</v>
      </c>
      <c r="M14" s="417">
        <f>H14-[1]ENERO!$K$282</f>
        <v>-2601</v>
      </c>
      <c r="N14" s="26">
        <v>2601</v>
      </c>
    </row>
    <row r="15" spans="2:14" x14ac:dyDescent="0.2">
      <c r="B15" s="110">
        <v>43841</v>
      </c>
      <c r="C15" s="111" t="s">
        <v>728</v>
      </c>
      <c r="D15" s="11"/>
      <c r="E15" s="15"/>
      <c r="F15" s="15" t="s">
        <v>75</v>
      </c>
      <c r="G15" s="15"/>
      <c r="H15" s="112">
        <v>1274</v>
      </c>
      <c r="I15" s="12">
        <f t="shared" si="0"/>
        <v>407.68</v>
      </c>
      <c r="J15" s="12">
        <f t="shared" si="1"/>
        <v>866.32</v>
      </c>
      <c r="K15" s="12"/>
      <c r="L15" s="63">
        <f t="shared" si="2"/>
        <v>92653.960000000036</v>
      </c>
      <c r="M15" s="417">
        <f>H15-[1]ENERO!$K$299</f>
        <v>-1380</v>
      </c>
      <c r="N15" s="26">
        <v>1380</v>
      </c>
    </row>
    <row r="16" spans="2:14" x14ac:dyDescent="0.2">
      <c r="B16" s="110">
        <v>43843</v>
      </c>
      <c r="C16" s="111" t="s">
        <v>728</v>
      </c>
      <c r="D16" s="11"/>
      <c r="E16" s="15"/>
      <c r="F16" s="15" t="s">
        <v>75</v>
      </c>
      <c r="G16" s="15"/>
      <c r="H16" s="112">
        <v>3538</v>
      </c>
      <c r="I16" s="12">
        <f t="shared" si="0"/>
        <v>1132.1600000000001</v>
      </c>
      <c r="J16" s="12">
        <f t="shared" si="1"/>
        <v>2405.84</v>
      </c>
      <c r="K16" s="12"/>
      <c r="L16" s="63">
        <f t="shared" si="2"/>
        <v>95059.800000000032</v>
      </c>
      <c r="M16" s="417">
        <f>H16-[1]ENERO!$K$320</f>
        <v>0</v>
      </c>
      <c r="N16" s="26">
        <v>0</v>
      </c>
    </row>
    <row r="17" spans="2:14" x14ac:dyDescent="0.2">
      <c r="B17" s="110">
        <v>43844</v>
      </c>
      <c r="C17" s="405" t="s">
        <v>729</v>
      </c>
      <c r="D17" s="11"/>
      <c r="E17" s="15"/>
      <c r="F17" s="15" t="s">
        <v>85</v>
      </c>
      <c r="G17" s="15"/>
      <c r="H17" s="112">
        <v>2874</v>
      </c>
      <c r="I17" s="12">
        <f t="shared" si="0"/>
        <v>919.68000000000006</v>
      </c>
      <c r="J17" s="12">
        <f t="shared" si="1"/>
        <v>1954.3200000000002</v>
      </c>
      <c r="K17" s="12"/>
      <c r="L17" s="63">
        <f t="shared" si="2"/>
        <v>97014.120000000039</v>
      </c>
      <c r="M17" s="417">
        <f>H17-[1]ENERO!$K$336</f>
        <v>-308</v>
      </c>
      <c r="N17" s="26">
        <v>308</v>
      </c>
    </row>
    <row r="18" spans="2:14" x14ac:dyDescent="0.2">
      <c r="B18" s="110">
        <v>43845</v>
      </c>
      <c r="C18" s="405" t="s">
        <v>729</v>
      </c>
      <c r="D18" s="11"/>
      <c r="E18" s="15"/>
      <c r="F18" s="15" t="s">
        <v>85</v>
      </c>
      <c r="G18" s="15"/>
      <c r="H18" s="112">
        <v>522</v>
      </c>
      <c r="I18" s="12">
        <f t="shared" si="0"/>
        <v>167.04</v>
      </c>
      <c r="J18" s="12">
        <f t="shared" si="1"/>
        <v>354.96000000000004</v>
      </c>
      <c r="K18" s="12"/>
      <c r="L18" s="63">
        <f t="shared" si="2"/>
        <v>97369.080000000045</v>
      </c>
      <c r="M18" s="417">
        <f>H18-[1]ENERO!$K$345</f>
        <v>-616</v>
      </c>
      <c r="N18" s="26">
        <v>616</v>
      </c>
    </row>
    <row r="19" spans="2:14" x14ac:dyDescent="0.2">
      <c r="B19" s="110">
        <v>43846</v>
      </c>
      <c r="C19" s="405" t="s">
        <v>729</v>
      </c>
      <c r="D19" s="11"/>
      <c r="E19" s="15"/>
      <c r="F19" s="15" t="s">
        <v>85</v>
      </c>
      <c r="G19" s="15"/>
      <c r="H19" s="112">
        <v>814</v>
      </c>
      <c r="I19" s="12">
        <f t="shared" si="0"/>
        <v>260.48</v>
      </c>
      <c r="J19" s="12">
        <f t="shared" si="1"/>
        <v>553.5200000000001</v>
      </c>
      <c r="K19" s="12"/>
      <c r="L19" s="63">
        <f t="shared" si="2"/>
        <v>97922.600000000049</v>
      </c>
      <c r="M19" s="417">
        <f>H19-[1]ENERO!$K$345</f>
        <v>-324</v>
      </c>
      <c r="N19" s="26">
        <v>324</v>
      </c>
    </row>
    <row r="20" spans="2:14" x14ac:dyDescent="0.2">
      <c r="B20" s="110">
        <v>43847</v>
      </c>
      <c r="C20" s="405" t="s">
        <v>729</v>
      </c>
      <c r="D20" s="11"/>
      <c r="E20" s="15"/>
      <c r="F20" s="15" t="s">
        <v>85</v>
      </c>
      <c r="G20" s="15"/>
      <c r="H20" s="112">
        <v>1222</v>
      </c>
      <c r="I20" s="12">
        <f t="shared" si="0"/>
        <v>391.04</v>
      </c>
      <c r="J20" s="12">
        <f t="shared" si="1"/>
        <v>830.96</v>
      </c>
      <c r="K20" s="12"/>
      <c r="L20" s="63">
        <f t="shared" si="2"/>
        <v>98753.560000000056</v>
      </c>
      <c r="M20" s="417">
        <f>H20-[1]ENERO!$K$364</f>
        <v>-294</v>
      </c>
      <c r="N20" s="26">
        <v>294</v>
      </c>
    </row>
    <row r="21" spans="2:14" x14ac:dyDescent="0.2">
      <c r="B21" s="110">
        <v>43850</v>
      </c>
      <c r="C21" s="405" t="s">
        <v>729</v>
      </c>
      <c r="D21" s="77"/>
      <c r="E21" s="15"/>
      <c r="F21" s="15" t="s">
        <v>85</v>
      </c>
      <c r="G21" s="66"/>
      <c r="H21" s="112">
        <v>870</v>
      </c>
      <c r="I21" s="12">
        <f t="shared" si="0"/>
        <v>278.40000000000003</v>
      </c>
      <c r="J21" s="12">
        <f t="shared" si="1"/>
        <v>591.6</v>
      </c>
      <c r="K21" s="12"/>
      <c r="L21" s="63">
        <f t="shared" si="2"/>
        <v>99345.160000000062</v>
      </c>
      <c r="M21" s="417">
        <f>H21-[1]ENERO!$K$373</f>
        <v>0</v>
      </c>
      <c r="N21" s="26">
        <v>0</v>
      </c>
    </row>
    <row r="22" spans="2:14" x14ac:dyDescent="0.2">
      <c r="B22" s="110">
        <v>43851</v>
      </c>
      <c r="C22" s="405" t="s">
        <v>729</v>
      </c>
      <c r="D22" s="11"/>
      <c r="E22" s="15"/>
      <c r="F22" s="15" t="s">
        <v>85</v>
      </c>
      <c r="G22" s="15"/>
      <c r="H22" s="112">
        <v>238</v>
      </c>
      <c r="I22" s="12">
        <f t="shared" si="0"/>
        <v>76.16</v>
      </c>
      <c r="J22" s="12">
        <f t="shared" si="1"/>
        <v>161.84</v>
      </c>
      <c r="K22" s="12"/>
      <c r="L22" s="63">
        <f t="shared" si="2"/>
        <v>99507.000000000058</v>
      </c>
      <c r="M22" s="417">
        <f>H22-[1]ENERO!$K$378</f>
        <v>-208</v>
      </c>
      <c r="N22" s="26">
        <v>208</v>
      </c>
    </row>
    <row r="23" spans="2:14" x14ac:dyDescent="0.2">
      <c r="B23" s="110">
        <v>43852</v>
      </c>
      <c r="C23" s="405" t="s">
        <v>729</v>
      </c>
      <c r="D23" s="11"/>
      <c r="E23" s="15"/>
      <c r="F23" s="15" t="s">
        <v>85</v>
      </c>
      <c r="G23" s="112"/>
      <c r="H23" s="112">
        <v>1496</v>
      </c>
      <c r="I23" s="12">
        <f t="shared" si="0"/>
        <v>478.72</v>
      </c>
      <c r="J23" s="12">
        <f t="shared" si="1"/>
        <v>1017.2800000000001</v>
      </c>
      <c r="K23" s="12"/>
      <c r="L23" s="63">
        <f t="shared" si="2"/>
        <v>100524.28000000006</v>
      </c>
      <c r="M23" s="417">
        <f>H23-[1]ENERO!$K$398</f>
        <v>-2004</v>
      </c>
      <c r="N23" s="26">
        <v>2004</v>
      </c>
    </row>
    <row r="24" spans="2:14" x14ac:dyDescent="0.2">
      <c r="B24" s="110">
        <v>43853</v>
      </c>
      <c r="C24" s="405" t="s">
        <v>729</v>
      </c>
      <c r="D24" s="11"/>
      <c r="E24" s="15"/>
      <c r="F24" s="15" t="s">
        <v>85</v>
      </c>
      <c r="G24" s="15"/>
      <c r="H24" s="112">
        <v>630</v>
      </c>
      <c r="I24" s="12">
        <f t="shared" si="0"/>
        <v>201.6</v>
      </c>
      <c r="J24" s="12">
        <f t="shared" si="1"/>
        <v>428.40000000000003</v>
      </c>
      <c r="K24" s="12"/>
      <c r="L24" s="63">
        <f t="shared" si="2"/>
        <v>100952.68000000005</v>
      </c>
      <c r="M24" s="417">
        <f>H24-[1]ENERO!$K$405</f>
        <v>-144</v>
      </c>
      <c r="N24" s="26">
        <v>144</v>
      </c>
    </row>
    <row r="25" spans="2:14" x14ac:dyDescent="0.2">
      <c r="B25" s="110">
        <v>43854</v>
      </c>
      <c r="C25" s="405" t="s">
        <v>729</v>
      </c>
      <c r="D25" s="11"/>
      <c r="E25" s="15"/>
      <c r="F25" s="15" t="s">
        <v>85</v>
      </c>
      <c r="G25" s="15"/>
      <c r="H25" s="112">
        <v>442</v>
      </c>
      <c r="I25" s="12">
        <f t="shared" si="0"/>
        <v>141.44</v>
      </c>
      <c r="J25" s="12">
        <f t="shared" si="1"/>
        <v>300.56</v>
      </c>
      <c r="K25" s="12"/>
      <c r="L25" s="63">
        <f t="shared" si="2"/>
        <v>101253.24000000005</v>
      </c>
      <c r="M25" s="417">
        <f>H25-[1]ENERO!$K$411</f>
        <v>-144</v>
      </c>
      <c r="N25" s="26">
        <v>144</v>
      </c>
    </row>
    <row r="26" spans="2:14" x14ac:dyDescent="0.2">
      <c r="B26" s="110">
        <v>43857</v>
      </c>
      <c r="C26" s="405" t="s">
        <v>729</v>
      </c>
      <c r="D26" s="11"/>
      <c r="E26" s="15"/>
      <c r="F26" s="15" t="s">
        <v>85</v>
      </c>
      <c r="G26" s="15"/>
      <c r="H26" s="112">
        <v>934</v>
      </c>
      <c r="I26" s="12">
        <f t="shared" si="0"/>
        <v>298.88</v>
      </c>
      <c r="J26" s="12">
        <f t="shared" si="1"/>
        <v>635.12</v>
      </c>
      <c r="K26" s="12"/>
      <c r="L26" s="63">
        <f t="shared" si="2"/>
        <v>101888.36000000004</v>
      </c>
      <c r="M26" s="417">
        <f>H26-[1]ENERO!$K$427</f>
        <v>-404</v>
      </c>
      <c r="N26" s="26">
        <v>404</v>
      </c>
    </row>
    <row r="27" spans="2:14" x14ac:dyDescent="0.2">
      <c r="B27" s="110">
        <v>43858</v>
      </c>
      <c r="C27" s="405" t="s">
        <v>729</v>
      </c>
      <c r="D27" s="11"/>
      <c r="E27" s="15"/>
      <c r="F27" s="15" t="s">
        <v>85</v>
      </c>
      <c r="G27" s="15"/>
      <c r="H27" s="112">
        <v>352</v>
      </c>
      <c r="I27" s="12">
        <f t="shared" si="0"/>
        <v>112.64</v>
      </c>
      <c r="J27" s="12">
        <f t="shared" si="1"/>
        <v>239.36</v>
      </c>
      <c r="K27" s="12"/>
      <c r="L27" s="63">
        <f t="shared" si="2"/>
        <v>102127.72000000004</v>
      </c>
      <c r="M27" s="417">
        <f>H27-[1]ENERO!$K$432</f>
        <v>-20</v>
      </c>
      <c r="N27" s="26">
        <v>20</v>
      </c>
    </row>
    <row r="28" spans="2:14" x14ac:dyDescent="0.2">
      <c r="B28" s="110">
        <v>43859</v>
      </c>
      <c r="C28" s="405" t="s">
        <v>729</v>
      </c>
      <c r="D28" s="11"/>
      <c r="E28" s="15"/>
      <c r="F28" s="15" t="s">
        <v>85</v>
      </c>
      <c r="G28" s="15"/>
      <c r="H28" s="112">
        <v>308</v>
      </c>
      <c r="I28" s="12">
        <f t="shared" si="0"/>
        <v>98.56</v>
      </c>
      <c r="J28" s="12">
        <f t="shared" si="1"/>
        <v>209.44000000000003</v>
      </c>
      <c r="K28" s="12"/>
      <c r="L28" s="63">
        <f t="shared" si="2"/>
        <v>102337.16000000005</v>
      </c>
      <c r="M28" s="417">
        <f>H28-[1]ENERO!$K$436</f>
        <v>-124</v>
      </c>
      <c r="N28" s="26">
        <v>124</v>
      </c>
    </row>
    <row r="29" spans="2:14" x14ac:dyDescent="0.2">
      <c r="B29" s="110">
        <v>43860</v>
      </c>
      <c r="C29" s="405" t="s">
        <v>729</v>
      </c>
      <c r="D29" s="11"/>
      <c r="E29" s="15"/>
      <c r="F29" s="15" t="s">
        <v>85</v>
      </c>
      <c r="G29" s="15"/>
      <c r="H29" s="112">
        <v>288</v>
      </c>
      <c r="I29" s="12">
        <f t="shared" si="0"/>
        <v>92.16</v>
      </c>
      <c r="J29" s="12">
        <f t="shared" si="1"/>
        <v>195.84</v>
      </c>
      <c r="K29" s="12"/>
      <c r="L29" s="63">
        <f t="shared" si="2"/>
        <v>102533.00000000004</v>
      </c>
      <c r="M29" s="417">
        <f>H29-[1]ENERO!$K$442</f>
        <v>-288</v>
      </c>
      <c r="N29" s="26">
        <v>288</v>
      </c>
    </row>
    <row r="30" spans="2:14" x14ac:dyDescent="0.2">
      <c r="B30" s="110">
        <v>43861</v>
      </c>
      <c r="C30" s="405" t="s">
        <v>729</v>
      </c>
      <c r="D30" s="11"/>
      <c r="E30" s="15"/>
      <c r="F30" s="15" t="s">
        <v>85</v>
      </c>
      <c r="G30" s="15"/>
      <c r="H30" s="112">
        <v>472</v>
      </c>
      <c r="I30" s="12">
        <f t="shared" si="0"/>
        <v>151.04</v>
      </c>
      <c r="J30" s="12">
        <f t="shared" si="1"/>
        <v>320.96000000000004</v>
      </c>
      <c r="K30" s="12"/>
      <c r="L30" s="63">
        <f t="shared" si="2"/>
        <v>102853.96000000005</v>
      </c>
      <c r="M30" s="417">
        <f>H30-[1]ENERO!$K$447</f>
        <v>-308</v>
      </c>
      <c r="N30" s="26">
        <v>308</v>
      </c>
    </row>
    <row r="31" spans="2:14" x14ac:dyDescent="0.2">
      <c r="B31" s="110"/>
      <c r="C31" s="405"/>
      <c r="D31" s="11"/>
      <c r="E31" s="15"/>
      <c r="F31" s="15"/>
      <c r="G31" s="15"/>
      <c r="H31" s="112"/>
      <c r="I31" s="12">
        <f t="shared" si="0"/>
        <v>0</v>
      </c>
      <c r="J31" s="12">
        <f t="shared" si="1"/>
        <v>0</v>
      </c>
      <c r="K31" s="12"/>
      <c r="L31" s="63">
        <f t="shared" si="2"/>
        <v>102853.96000000005</v>
      </c>
    </row>
    <row r="32" spans="2:14" x14ac:dyDescent="0.2">
      <c r="B32" s="110">
        <v>43832</v>
      </c>
      <c r="C32" s="405" t="s">
        <v>755</v>
      </c>
      <c r="D32" s="11"/>
      <c r="E32" s="15"/>
      <c r="F32" s="15"/>
      <c r="G32" s="15"/>
      <c r="H32" s="112">
        <v>236</v>
      </c>
      <c r="I32" s="12">
        <f t="shared" si="0"/>
        <v>75.52</v>
      </c>
      <c r="J32" s="12">
        <f t="shared" si="1"/>
        <v>160.48000000000002</v>
      </c>
      <c r="K32" s="12"/>
      <c r="L32" s="63">
        <f t="shared" si="2"/>
        <v>103014.44000000005</v>
      </c>
    </row>
    <row r="33" spans="2:12" x14ac:dyDescent="0.2">
      <c r="B33" s="110">
        <v>43833</v>
      </c>
      <c r="C33" s="405" t="s">
        <v>755</v>
      </c>
      <c r="D33" s="11"/>
      <c r="E33" s="15"/>
      <c r="F33" s="15"/>
      <c r="G33" s="15"/>
      <c r="H33" s="112">
        <v>5109</v>
      </c>
      <c r="I33" s="12">
        <f t="shared" si="0"/>
        <v>1634.88</v>
      </c>
      <c r="J33" s="12">
        <f t="shared" si="1"/>
        <v>3474.1200000000003</v>
      </c>
      <c r="K33" s="12"/>
      <c r="L33" s="63">
        <f t="shared" si="2"/>
        <v>106488.56000000004</v>
      </c>
    </row>
    <row r="34" spans="2:12" x14ac:dyDescent="0.2">
      <c r="B34" s="110">
        <v>43834</v>
      </c>
      <c r="C34" s="405" t="s">
        <v>755</v>
      </c>
      <c r="D34" s="11"/>
      <c r="E34" s="15"/>
      <c r="F34" s="15"/>
      <c r="G34" s="15"/>
      <c r="H34" s="112">
        <v>1032</v>
      </c>
      <c r="I34" s="12">
        <f t="shared" si="0"/>
        <v>330.24</v>
      </c>
      <c r="J34" s="12">
        <f t="shared" si="1"/>
        <v>701.7600000000001</v>
      </c>
      <c r="K34" s="12"/>
      <c r="L34" s="63">
        <f t="shared" si="2"/>
        <v>107190.32000000004</v>
      </c>
    </row>
    <row r="35" spans="2:12" x14ac:dyDescent="0.2">
      <c r="B35" s="110">
        <v>43836</v>
      </c>
      <c r="C35" s="405" t="s">
        <v>755</v>
      </c>
      <c r="D35" s="11"/>
      <c r="E35" s="15"/>
      <c r="F35" s="15"/>
      <c r="G35" s="15"/>
      <c r="H35" s="112">
        <v>5493</v>
      </c>
      <c r="I35" s="12">
        <f t="shared" si="0"/>
        <v>1757.76</v>
      </c>
      <c r="J35" s="12">
        <f t="shared" si="1"/>
        <v>3735.2400000000002</v>
      </c>
      <c r="K35" s="12"/>
      <c r="L35" s="63">
        <f t="shared" si="2"/>
        <v>110925.56000000004</v>
      </c>
    </row>
    <row r="36" spans="2:12" x14ac:dyDescent="0.2">
      <c r="B36" s="110">
        <v>43837</v>
      </c>
      <c r="C36" s="405" t="s">
        <v>755</v>
      </c>
      <c r="D36" s="11"/>
      <c r="E36" s="15"/>
      <c r="F36" s="15"/>
      <c r="G36" s="15"/>
      <c r="H36" s="112">
        <v>2543</v>
      </c>
      <c r="I36" s="12">
        <f t="shared" si="0"/>
        <v>813.76</v>
      </c>
      <c r="J36" s="12">
        <f t="shared" si="1"/>
        <v>1729.2400000000002</v>
      </c>
      <c r="K36" s="12"/>
      <c r="L36" s="63">
        <f t="shared" si="2"/>
        <v>112654.80000000005</v>
      </c>
    </row>
    <row r="37" spans="2:12" x14ac:dyDescent="0.2">
      <c r="B37" s="110">
        <v>43838</v>
      </c>
      <c r="C37" s="405" t="s">
        <v>755</v>
      </c>
      <c r="D37" s="11"/>
      <c r="E37" s="15"/>
      <c r="F37" s="15"/>
      <c r="G37" s="15"/>
      <c r="H37" s="112">
        <v>2004</v>
      </c>
      <c r="I37" s="12">
        <f t="shared" si="0"/>
        <v>641.28</v>
      </c>
      <c r="J37" s="12">
        <f t="shared" si="1"/>
        <v>1362.72</v>
      </c>
      <c r="K37" s="12"/>
      <c r="L37" s="63">
        <f t="shared" si="2"/>
        <v>114017.52000000005</v>
      </c>
    </row>
    <row r="38" spans="2:12" x14ac:dyDescent="0.2">
      <c r="B38" s="110">
        <v>43839</v>
      </c>
      <c r="C38" s="405" t="s">
        <v>755</v>
      </c>
      <c r="D38" s="11"/>
      <c r="E38" s="15"/>
      <c r="F38" s="15"/>
      <c r="G38" s="15"/>
      <c r="H38" s="112">
        <v>1529</v>
      </c>
      <c r="I38" s="12">
        <f t="shared" si="0"/>
        <v>489.28000000000003</v>
      </c>
      <c r="J38" s="12">
        <f t="shared" si="1"/>
        <v>1039.72</v>
      </c>
      <c r="K38" s="12"/>
      <c r="L38" s="63">
        <f t="shared" si="2"/>
        <v>115057.24000000005</v>
      </c>
    </row>
    <row r="39" spans="2:12" x14ac:dyDescent="0.2">
      <c r="B39" s="110">
        <v>43840</v>
      </c>
      <c r="C39" s="405" t="s">
        <v>755</v>
      </c>
      <c r="D39" s="11"/>
      <c r="E39" s="15"/>
      <c r="F39" s="15"/>
      <c r="G39" s="15"/>
      <c r="H39" s="112">
        <v>2601</v>
      </c>
      <c r="I39" s="12">
        <f t="shared" si="0"/>
        <v>832.32</v>
      </c>
      <c r="J39" s="12">
        <f t="shared" si="1"/>
        <v>1768.68</v>
      </c>
      <c r="K39" s="12"/>
      <c r="L39" s="63">
        <f t="shared" si="2"/>
        <v>116825.92000000004</v>
      </c>
    </row>
    <row r="40" spans="2:12" x14ac:dyDescent="0.2">
      <c r="B40" s="110">
        <v>43841</v>
      </c>
      <c r="C40" s="405" t="s">
        <v>755</v>
      </c>
      <c r="D40" s="11"/>
      <c r="E40" s="15"/>
      <c r="F40" s="15"/>
      <c r="G40" s="15"/>
      <c r="H40" s="112">
        <v>1380</v>
      </c>
      <c r="I40" s="12">
        <f t="shared" si="0"/>
        <v>441.6</v>
      </c>
      <c r="J40" s="12">
        <f t="shared" si="1"/>
        <v>938.40000000000009</v>
      </c>
      <c r="K40" s="12"/>
      <c r="L40" s="63">
        <f t="shared" si="2"/>
        <v>117764.32000000004</v>
      </c>
    </row>
    <row r="41" spans="2:12" x14ac:dyDescent="0.2">
      <c r="B41" s="110">
        <v>43843</v>
      </c>
      <c r="C41" s="405" t="s">
        <v>755</v>
      </c>
      <c r="D41" s="11"/>
      <c r="E41" s="15"/>
      <c r="F41" s="15"/>
      <c r="G41" s="15"/>
      <c r="H41" s="112">
        <v>0</v>
      </c>
      <c r="I41" s="12">
        <f t="shared" si="0"/>
        <v>0</v>
      </c>
      <c r="J41" s="12">
        <f t="shared" si="1"/>
        <v>0</v>
      </c>
      <c r="K41" s="12"/>
      <c r="L41" s="63">
        <f t="shared" si="2"/>
        <v>117764.32000000004</v>
      </c>
    </row>
    <row r="42" spans="2:12" x14ac:dyDescent="0.2">
      <c r="B42" s="110">
        <v>43844</v>
      </c>
      <c r="C42" s="405" t="s">
        <v>755</v>
      </c>
      <c r="D42" s="11"/>
      <c r="E42" s="15"/>
      <c r="F42" s="15"/>
      <c r="G42" s="15"/>
      <c r="H42" s="112">
        <v>308</v>
      </c>
      <c r="I42" s="12">
        <f t="shared" si="0"/>
        <v>98.56</v>
      </c>
      <c r="J42" s="12">
        <f t="shared" si="1"/>
        <v>209.44000000000003</v>
      </c>
      <c r="K42" s="12"/>
      <c r="L42" s="63">
        <f t="shared" si="2"/>
        <v>117973.76000000004</v>
      </c>
    </row>
    <row r="43" spans="2:12" x14ac:dyDescent="0.2">
      <c r="B43" s="110">
        <v>43845</v>
      </c>
      <c r="C43" s="405" t="s">
        <v>755</v>
      </c>
      <c r="D43" s="11"/>
      <c r="E43" s="15"/>
      <c r="F43" s="15"/>
      <c r="G43" s="15"/>
      <c r="H43" s="112">
        <v>616</v>
      </c>
      <c r="I43" s="12">
        <f t="shared" si="0"/>
        <v>197.12</v>
      </c>
      <c r="J43" s="12">
        <f t="shared" si="1"/>
        <v>418.88000000000005</v>
      </c>
      <c r="K43" s="12"/>
      <c r="L43" s="63">
        <f t="shared" si="2"/>
        <v>118392.64000000004</v>
      </c>
    </row>
    <row r="44" spans="2:12" x14ac:dyDescent="0.2">
      <c r="B44" s="110">
        <v>43846</v>
      </c>
      <c r="C44" s="405" t="s">
        <v>755</v>
      </c>
      <c r="D44" s="11"/>
      <c r="E44" s="15"/>
      <c r="F44" s="15"/>
      <c r="G44" s="15"/>
      <c r="H44" s="112">
        <v>322</v>
      </c>
      <c r="I44" s="12">
        <f t="shared" si="0"/>
        <v>103.04</v>
      </c>
      <c r="J44" s="12">
        <f t="shared" si="1"/>
        <v>218.96</v>
      </c>
      <c r="K44" s="12"/>
      <c r="L44" s="63">
        <f t="shared" si="2"/>
        <v>118611.60000000005</v>
      </c>
    </row>
    <row r="45" spans="2:12" x14ac:dyDescent="0.2">
      <c r="B45" s="110">
        <v>43847</v>
      </c>
      <c r="C45" s="405" t="s">
        <v>755</v>
      </c>
      <c r="D45" s="11"/>
      <c r="E45" s="15"/>
      <c r="F45" s="15"/>
      <c r="G45" s="15"/>
      <c r="H45" s="112">
        <v>294</v>
      </c>
      <c r="I45" s="12">
        <f t="shared" si="0"/>
        <v>94.08</v>
      </c>
      <c r="J45" s="12">
        <f t="shared" si="1"/>
        <v>199.92000000000002</v>
      </c>
      <c r="K45" s="12"/>
      <c r="L45" s="63">
        <f t="shared" si="2"/>
        <v>118811.52000000005</v>
      </c>
    </row>
    <row r="46" spans="2:12" x14ac:dyDescent="0.2">
      <c r="B46" s="110">
        <v>43850</v>
      </c>
      <c r="C46" s="405" t="s">
        <v>755</v>
      </c>
      <c r="D46" s="11"/>
      <c r="E46" s="15"/>
      <c r="F46" s="15"/>
      <c r="G46" s="15"/>
      <c r="H46" s="112">
        <v>0</v>
      </c>
      <c r="I46" s="12">
        <f t="shared" si="0"/>
        <v>0</v>
      </c>
      <c r="J46" s="12">
        <f t="shared" si="1"/>
        <v>0</v>
      </c>
      <c r="K46" s="12"/>
      <c r="L46" s="63">
        <f t="shared" si="2"/>
        <v>118811.52000000005</v>
      </c>
    </row>
    <row r="47" spans="2:12" x14ac:dyDescent="0.2">
      <c r="B47" s="110">
        <v>43851</v>
      </c>
      <c r="C47" s="405" t="s">
        <v>755</v>
      </c>
      <c r="D47" s="11"/>
      <c r="E47" s="15"/>
      <c r="F47" s="15"/>
      <c r="G47" s="15"/>
      <c r="H47" s="112">
        <v>208</v>
      </c>
      <c r="I47" s="12">
        <f t="shared" si="0"/>
        <v>66.56</v>
      </c>
      <c r="J47" s="12">
        <f t="shared" si="1"/>
        <v>141.44</v>
      </c>
      <c r="K47" s="12"/>
      <c r="L47" s="63">
        <f t="shared" si="2"/>
        <v>118952.96000000005</v>
      </c>
    </row>
    <row r="48" spans="2:12" x14ac:dyDescent="0.2">
      <c r="B48" s="110">
        <v>43852</v>
      </c>
      <c r="C48" s="405" t="s">
        <v>755</v>
      </c>
      <c r="D48" s="11"/>
      <c r="E48" s="15"/>
      <c r="F48" s="15"/>
      <c r="G48" s="15"/>
      <c r="H48" s="112">
        <v>2004</v>
      </c>
      <c r="I48" s="12">
        <f t="shared" si="0"/>
        <v>641.28</v>
      </c>
      <c r="J48" s="12">
        <f t="shared" si="1"/>
        <v>1362.72</v>
      </c>
      <c r="K48" s="12"/>
      <c r="L48" s="63">
        <f t="shared" si="2"/>
        <v>120315.68000000005</v>
      </c>
    </row>
    <row r="49" spans="2:12" x14ac:dyDescent="0.2">
      <c r="B49" s="110">
        <v>43853</v>
      </c>
      <c r="C49" s="405" t="s">
        <v>755</v>
      </c>
      <c r="D49" s="11"/>
      <c r="E49" s="15"/>
      <c r="F49" s="15"/>
      <c r="G49" s="15"/>
      <c r="H49" s="112">
        <v>144</v>
      </c>
      <c r="I49" s="12">
        <f t="shared" si="0"/>
        <v>46.08</v>
      </c>
      <c r="J49" s="12">
        <f t="shared" si="1"/>
        <v>97.92</v>
      </c>
      <c r="K49" s="12"/>
      <c r="L49" s="63">
        <f t="shared" si="2"/>
        <v>120413.60000000005</v>
      </c>
    </row>
    <row r="50" spans="2:12" x14ac:dyDescent="0.2">
      <c r="B50" s="110">
        <v>43855</v>
      </c>
      <c r="C50" s="405" t="s">
        <v>854</v>
      </c>
      <c r="D50" s="11"/>
      <c r="E50" s="15"/>
      <c r="F50" s="15"/>
      <c r="G50" s="15"/>
      <c r="H50" s="112">
        <v>288</v>
      </c>
      <c r="I50" s="12">
        <f t="shared" si="0"/>
        <v>92.16</v>
      </c>
      <c r="J50" s="12">
        <f t="shared" si="1"/>
        <v>195.84</v>
      </c>
      <c r="K50" s="12"/>
      <c r="L50" s="63">
        <f t="shared" si="2"/>
        <v>120609.44000000005</v>
      </c>
    </row>
    <row r="51" spans="2:12" x14ac:dyDescent="0.2">
      <c r="B51" s="110">
        <v>43854</v>
      </c>
      <c r="C51" s="405" t="s">
        <v>755</v>
      </c>
      <c r="D51" s="11"/>
      <c r="E51" s="15"/>
      <c r="F51" s="15"/>
      <c r="G51" s="15"/>
      <c r="H51" s="112">
        <v>144</v>
      </c>
      <c r="I51" s="12">
        <f t="shared" si="0"/>
        <v>46.08</v>
      </c>
      <c r="J51" s="12">
        <f t="shared" si="1"/>
        <v>97.92</v>
      </c>
      <c r="K51" s="12"/>
      <c r="L51" s="63">
        <f t="shared" si="2"/>
        <v>120707.36000000004</v>
      </c>
    </row>
    <row r="52" spans="2:12" x14ac:dyDescent="0.2">
      <c r="B52" s="110">
        <v>43857</v>
      </c>
      <c r="C52" s="405" t="s">
        <v>755</v>
      </c>
      <c r="D52" s="11"/>
      <c r="E52" s="15"/>
      <c r="F52" s="15"/>
      <c r="G52" s="15"/>
      <c r="H52" s="112">
        <v>404</v>
      </c>
      <c r="I52" s="12">
        <f t="shared" si="0"/>
        <v>129.28</v>
      </c>
      <c r="J52" s="12">
        <f t="shared" si="1"/>
        <v>274.72000000000003</v>
      </c>
      <c r="K52" s="12"/>
      <c r="L52" s="63">
        <f t="shared" si="2"/>
        <v>120982.08000000005</v>
      </c>
    </row>
    <row r="53" spans="2:12" x14ac:dyDescent="0.2">
      <c r="B53" s="110">
        <v>43858</v>
      </c>
      <c r="C53" s="405" t="s">
        <v>755</v>
      </c>
      <c r="D53" s="11"/>
      <c r="E53" s="15"/>
      <c r="F53" s="15"/>
      <c r="G53" s="15"/>
      <c r="H53" s="112">
        <v>20</v>
      </c>
      <c r="I53" s="12">
        <f t="shared" si="0"/>
        <v>6.4</v>
      </c>
      <c r="J53" s="12">
        <f t="shared" si="1"/>
        <v>13.600000000000001</v>
      </c>
      <c r="K53" s="12"/>
      <c r="L53" s="63">
        <f t="shared" si="2"/>
        <v>120995.68000000005</v>
      </c>
    </row>
    <row r="54" spans="2:12" x14ac:dyDescent="0.2">
      <c r="B54" s="110">
        <v>43859</v>
      </c>
      <c r="C54" s="405" t="s">
        <v>755</v>
      </c>
      <c r="D54" s="11"/>
      <c r="E54" s="15"/>
      <c r="F54" s="15"/>
      <c r="G54" s="15"/>
      <c r="H54" s="112">
        <v>124</v>
      </c>
      <c r="I54" s="12">
        <f t="shared" si="0"/>
        <v>39.68</v>
      </c>
      <c r="J54" s="12">
        <f t="shared" si="1"/>
        <v>84.320000000000007</v>
      </c>
      <c r="K54" s="12"/>
      <c r="L54" s="63">
        <f t="shared" si="2"/>
        <v>121080.00000000006</v>
      </c>
    </row>
    <row r="55" spans="2:12" x14ac:dyDescent="0.2">
      <c r="B55" s="110">
        <v>43860</v>
      </c>
      <c r="C55" s="405" t="s">
        <v>755</v>
      </c>
      <c r="D55" s="11"/>
      <c r="E55" s="15"/>
      <c r="F55" s="15"/>
      <c r="G55" s="15"/>
      <c r="H55" s="112">
        <v>288</v>
      </c>
      <c r="I55" s="12">
        <f t="shared" si="0"/>
        <v>92.16</v>
      </c>
      <c r="J55" s="12">
        <f t="shared" si="1"/>
        <v>195.84</v>
      </c>
      <c r="K55" s="12"/>
      <c r="L55" s="63">
        <f t="shared" si="2"/>
        <v>121275.84000000005</v>
      </c>
    </row>
    <row r="56" spans="2:12" x14ac:dyDescent="0.2">
      <c r="B56" s="110">
        <v>43861</v>
      </c>
      <c r="C56" s="405" t="s">
        <v>755</v>
      </c>
      <c r="D56" s="11"/>
      <c r="E56" s="15"/>
      <c r="F56" s="15"/>
      <c r="G56" s="15"/>
      <c r="H56" s="112">
        <v>308</v>
      </c>
      <c r="I56" s="12">
        <f t="shared" si="0"/>
        <v>98.56</v>
      </c>
      <c r="J56" s="12">
        <f t="shared" si="1"/>
        <v>209.44000000000003</v>
      </c>
      <c r="K56" s="12"/>
      <c r="L56" s="63">
        <f>+J56-K56+L55</f>
        <v>121485.28000000006</v>
      </c>
    </row>
    <row r="57" spans="2:12" x14ac:dyDescent="0.2">
      <c r="B57" s="427">
        <v>43839</v>
      </c>
      <c r="C57" s="428" t="s">
        <v>788</v>
      </c>
      <c r="D57" s="65"/>
      <c r="E57" s="13"/>
      <c r="F57" s="13"/>
      <c r="G57" s="66"/>
      <c r="H57" s="429">
        <v>308</v>
      </c>
      <c r="I57" s="430">
        <f>H57*0.32</f>
        <v>98.56</v>
      </c>
      <c r="J57" s="430">
        <f>H57*0.68</f>
        <v>209.44000000000003</v>
      </c>
      <c r="K57" s="12"/>
      <c r="L57" s="63">
        <f t="shared" ref="L57:L62" si="3">+J57-K57+L56</f>
        <v>121694.72000000006</v>
      </c>
    </row>
    <row r="58" spans="2:12" x14ac:dyDescent="0.2">
      <c r="B58" s="427">
        <v>43841</v>
      </c>
      <c r="C58" s="428" t="s">
        <v>788</v>
      </c>
      <c r="D58" s="65"/>
      <c r="E58" s="13"/>
      <c r="F58" s="13"/>
      <c r="G58" s="66"/>
      <c r="H58" s="429">
        <v>308</v>
      </c>
      <c r="I58" s="434">
        <f>H58*0.32</f>
        <v>98.56</v>
      </c>
      <c r="J58" s="430">
        <f>H58*0.68</f>
        <v>209.44000000000003</v>
      </c>
      <c r="K58" s="426"/>
      <c r="L58" s="63">
        <f t="shared" si="3"/>
        <v>121904.16000000006</v>
      </c>
    </row>
    <row r="59" spans="2:12" x14ac:dyDescent="0.2">
      <c r="B59" s="471"/>
      <c r="C59" s="471"/>
      <c r="D59" s="471"/>
      <c r="E59" s="471"/>
      <c r="F59" s="471"/>
      <c r="G59" s="471"/>
      <c r="H59" s="471"/>
      <c r="I59" s="434"/>
      <c r="J59" s="430"/>
      <c r="K59" s="471"/>
      <c r="L59" s="63">
        <f t="shared" si="3"/>
        <v>121904.16000000006</v>
      </c>
    </row>
    <row r="60" spans="2:12" x14ac:dyDescent="0.2">
      <c r="B60" s="110">
        <v>43838</v>
      </c>
      <c r="C60" s="353" t="s">
        <v>847</v>
      </c>
      <c r="D60" s="65" t="s">
        <v>35</v>
      </c>
      <c r="E60" s="471"/>
      <c r="F60" s="471"/>
      <c r="G60" s="471"/>
      <c r="H60" s="429">
        <v>308</v>
      </c>
      <c r="I60" s="434">
        <f t="shared" ref="I60" si="4">H60*0.32</f>
        <v>98.56</v>
      </c>
      <c r="J60" s="430">
        <f t="shared" ref="J60" si="5">H60*0.68</f>
        <v>209.44000000000003</v>
      </c>
      <c r="K60" s="471"/>
      <c r="L60" s="63">
        <f t="shared" si="3"/>
        <v>122113.60000000006</v>
      </c>
    </row>
    <row r="61" spans="2:12" x14ac:dyDescent="0.2">
      <c r="B61" s="471"/>
      <c r="C61" s="471"/>
      <c r="D61" s="471"/>
      <c r="E61" s="471"/>
      <c r="F61" s="471"/>
      <c r="G61" s="471"/>
      <c r="H61" s="471"/>
      <c r="I61" s="471"/>
      <c r="J61" s="471"/>
      <c r="K61" s="471"/>
      <c r="L61" s="63">
        <f t="shared" si="3"/>
        <v>122113.60000000006</v>
      </c>
    </row>
    <row r="62" spans="2:12" x14ac:dyDescent="0.2">
      <c r="B62" s="547" t="s">
        <v>12</v>
      </c>
      <c r="C62" s="548"/>
      <c r="D62" s="548"/>
      <c r="E62" s="548"/>
      <c r="F62" s="548"/>
      <c r="G62" s="548"/>
      <c r="H62" s="548"/>
      <c r="I62" s="548"/>
      <c r="J62" s="548"/>
      <c r="K62" s="549"/>
      <c r="L62" s="63">
        <f t="shared" si="3"/>
        <v>122113.60000000006</v>
      </c>
    </row>
    <row r="63" spans="2:12" x14ac:dyDescent="0.2">
      <c r="B63" s="552" t="s">
        <v>56</v>
      </c>
      <c r="C63" s="553"/>
      <c r="D63" s="554" t="s">
        <v>51</v>
      </c>
      <c r="E63" s="554"/>
      <c r="F63" s="554"/>
      <c r="G63" s="94"/>
      <c r="H63" s="95"/>
      <c r="I63" s="96"/>
      <c r="J63" s="96"/>
      <c r="K63" s="97"/>
      <c r="L63" s="63">
        <f t="shared" si="2"/>
        <v>122113.60000000006</v>
      </c>
    </row>
    <row r="64" spans="2:12" x14ac:dyDescent="0.2">
      <c r="B64" s="91" t="s">
        <v>1</v>
      </c>
      <c r="C64" s="92" t="s">
        <v>57</v>
      </c>
      <c r="D64" s="92" t="s">
        <v>2</v>
      </c>
      <c r="E64" s="93" t="s">
        <v>3</v>
      </c>
      <c r="F64" s="93" t="s">
        <v>4</v>
      </c>
      <c r="G64" s="561" t="s">
        <v>58</v>
      </c>
      <c r="H64" s="562"/>
      <c r="I64" s="562"/>
      <c r="J64" s="563"/>
      <c r="K64" s="90"/>
      <c r="L64" s="63">
        <f t="shared" si="2"/>
        <v>122113.60000000006</v>
      </c>
    </row>
    <row r="65" spans="2:14" ht="54" customHeight="1" x14ac:dyDescent="0.2">
      <c r="B65" s="10">
        <v>43878</v>
      </c>
      <c r="C65" s="345"/>
      <c r="E65" s="346"/>
      <c r="F65" s="347"/>
      <c r="G65" s="565" t="s">
        <v>724</v>
      </c>
      <c r="H65" s="566"/>
      <c r="I65" s="566"/>
      <c r="J65" s="567"/>
      <c r="K65" s="70">
        <v>1473.33</v>
      </c>
      <c r="L65" s="63">
        <f t="shared" si="2"/>
        <v>120640.27000000006</v>
      </c>
    </row>
    <row r="66" spans="2:14" ht="25.5" customHeight="1" x14ac:dyDescent="0.2">
      <c r="B66" s="10"/>
      <c r="C66" s="65"/>
      <c r="D66" s="349"/>
      <c r="E66" s="113"/>
      <c r="F66" s="13"/>
      <c r="G66" s="565" t="s">
        <v>725</v>
      </c>
      <c r="H66" s="566"/>
      <c r="I66" s="566"/>
      <c r="J66" s="567"/>
      <c r="K66" s="12">
        <v>866.66</v>
      </c>
      <c r="L66" s="63">
        <f t="shared" si="2"/>
        <v>119773.61000000006</v>
      </c>
    </row>
    <row r="67" spans="2:14" ht="25.5" customHeight="1" x14ac:dyDescent="0.2">
      <c r="B67" s="10"/>
      <c r="C67" s="77"/>
      <c r="D67" s="349"/>
      <c r="E67" s="77"/>
      <c r="F67" s="13"/>
      <c r="G67" s="565" t="s">
        <v>726</v>
      </c>
      <c r="H67" s="566"/>
      <c r="I67" s="566"/>
      <c r="J67" s="567"/>
      <c r="K67" s="12">
        <v>845</v>
      </c>
      <c r="L67" s="63">
        <f t="shared" si="2"/>
        <v>118928.61000000006</v>
      </c>
    </row>
    <row r="68" spans="2:14" ht="28.5" customHeight="1" x14ac:dyDescent="0.2">
      <c r="B68" s="10"/>
      <c r="C68" s="65"/>
      <c r="D68" s="349"/>
      <c r="E68" s="77"/>
      <c r="F68" s="13"/>
      <c r="G68" s="565" t="s">
        <v>727</v>
      </c>
      <c r="H68" s="566"/>
      <c r="I68" s="566"/>
      <c r="J68" s="567"/>
      <c r="K68" s="70">
        <v>845</v>
      </c>
      <c r="L68" s="63">
        <f t="shared" si="2"/>
        <v>118083.61000000006</v>
      </c>
    </row>
    <row r="69" spans="2:14" x14ac:dyDescent="0.2">
      <c r="B69" s="10"/>
      <c r="C69" s="65"/>
      <c r="D69" s="349"/>
      <c r="E69" s="77"/>
      <c r="F69" s="13"/>
      <c r="G69" s="81"/>
      <c r="H69" s="404"/>
      <c r="I69" s="404"/>
      <c r="J69" s="404"/>
      <c r="K69" s="70"/>
      <c r="L69" s="63">
        <f t="shared" si="2"/>
        <v>118083.61000000006</v>
      </c>
    </row>
    <row r="70" spans="2:14" ht="12" customHeight="1" x14ac:dyDescent="0.2">
      <c r="B70" s="10"/>
      <c r="C70" s="65"/>
      <c r="D70" s="349"/>
      <c r="E70" s="77"/>
      <c r="F70" s="13"/>
      <c r="G70" s="81"/>
      <c r="H70" s="558"/>
      <c r="I70" s="559"/>
      <c r="J70" s="560"/>
      <c r="K70" s="70"/>
      <c r="L70" s="63">
        <f t="shared" si="2"/>
        <v>118083.61000000006</v>
      </c>
    </row>
    <row r="71" spans="2:14" x14ac:dyDescent="0.2">
      <c r="B71" s="64"/>
      <c r="C71" s="65"/>
      <c r="D71" s="77"/>
      <c r="E71" s="3"/>
      <c r="F71" s="13"/>
      <c r="G71" s="558"/>
      <c r="H71" s="559"/>
      <c r="I71" s="560"/>
      <c r="J71" s="12"/>
      <c r="K71" s="12"/>
      <c r="L71" s="63">
        <f t="shared" si="2"/>
        <v>118083.61000000006</v>
      </c>
    </row>
    <row r="72" spans="2:14" x14ac:dyDescent="0.2">
      <c r="B72" s="64"/>
      <c r="C72" s="65"/>
      <c r="D72" s="65"/>
      <c r="E72" s="13"/>
      <c r="F72" s="13"/>
      <c r="G72" s="81"/>
      <c r="H72" s="84"/>
      <c r="I72" s="12"/>
      <c r="J72" s="12"/>
      <c r="K72" s="12"/>
      <c r="L72" s="63">
        <f t="shared" si="2"/>
        <v>118083.61000000006</v>
      </c>
    </row>
    <row r="73" spans="2:14" ht="12.75" thickBot="1" x14ac:dyDescent="0.25">
      <c r="B73" s="64"/>
      <c r="C73" s="65"/>
      <c r="D73" s="65"/>
      <c r="E73" s="13"/>
      <c r="F73" s="13"/>
      <c r="G73" s="104"/>
      <c r="H73" s="84"/>
      <c r="I73" s="12"/>
      <c r="J73" s="12"/>
      <c r="K73" s="12"/>
      <c r="L73" s="63"/>
    </row>
    <row r="74" spans="2:14" x14ac:dyDescent="0.2">
      <c r="B74" s="56"/>
      <c r="C74" s="57"/>
      <c r="D74" s="57"/>
      <c r="E74" s="5"/>
      <c r="F74" s="5"/>
      <c r="G74" s="85" t="s">
        <v>0</v>
      </c>
      <c r="H74" s="107">
        <f>SUM(H7:H60)</f>
        <v>75455</v>
      </c>
      <c r="I74" s="105">
        <f>SUM(I7:I58)</f>
        <v>24047.040000000008</v>
      </c>
      <c r="J74" s="106">
        <f>SUM(J7:J58)</f>
        <v>51099.96</v>
      </c>
      <c r="K74" s="106">
        <f>SUM(K65:K71)</f>
        <v>4029.99</v>
      </c>
      <c r="L74" s="108"/>
      <c r="N74" s="396"/>
    </row>
    <row r="75" spans="2:14" ht="12.75" thickBot="1" x14ac:dyDescent="0.25">
      <c r="B75" s="71"/>
      <c r="C75" s="72"/>
      <c r="D75" s="72"/>
      <c r="E75" s="73"/>
      <c r="F75" s="73"/>
      <c r="G75" s="86" t="s">
        <v>13</v>
      </c>
      <c r="H75" s="100"/>
      <c r="I75" s="99"/>
      <c r="J75" s="87"/>
      <c r="K75" s="87"/>
      <c r="L75" s="88">
        <f>+J74-K74+L6</f>
        <v>117874.17000000003</v>
      </c>
    </row>
    <row r="76" spans="2:14" x14ac:dyDescent="0.2">
      <c r="H76" s="74"/>
      <c r="I76" s="25"/>
    </row>
    <row r="77" spans="2:14" ht="12" customHeight="1" x14ac:dyDescent="0.2">
      <c r="B77" s="544" t="s">
        <v>48</v>
      </c>
      <c r="C77" s="545"/>
      <c r="D77" s="545"/>
      <c r="E77" s="545"/>
      <c r="F77" s="545"/>
      <c r="G77" s="545"/>
      <c r="H77" s="545"/>
      <c r="I77" s="545"/>
      <c r="J77" s="545"/>
      <c r="K77" s="545"/>
      <c r="L77" s="546"/>
      <c r="M77" s="25"/>
    </row>
    <row r="78" spans="2:14" x14ac:dyDescent="0.2">
      <c r="B78" s="547" t="s">
        <v>87</v>
      </c>
      <c r="C78" s="548"/>
      <c r="D78" s="548"/>
      <c r="E78" s="548"/>
      <c r="F78" s="548"/>
      <c r="G78" s="548"/>
      <c r="H78" s="548"/>
      <c r="I78" s="548"/>
      <c r="J78" s="548"/>
      <c r="K78" s="548"/>
      <c r="L78" s="549"/>
      <c r="M78" s="25"/>
    </row>
    <row r="79" spans="2:14" x14ac:dyDescent="0.2">
      <c r="B79" s="550" t="s">
        <v>50</v>
      </c>
      <c r="C79" s="550"/>
      <c r="D79" s="551" t="s">
        <v>51</v>
      </c>
      <c r="E79" s="551"/>
      <c r="F79" s="551"/>
      <c r="G79" s="79"/>
      <c r="H79" s="79"/>
      <c r="I79" s="79"/>
      <c r="J79" s="79"/>
      <c r="K79" s="79"/>
      <c r="L79" s="80"/>
      <c r="M79" s="25"/>
    </row>
    <row r="80" spans="2:14" ht="24" x14ac:dyDescent="0.2">
      <c r="B80" s="56" t="s">
        <v>1</v>
      </c>
      <c r="C80" s="57" t="s">
        <v>2</v>
      </c>
      <c r="D80" s="57" t="s">
        <v>2</v>
      </c>
      <c r="E80" s="5" t="s">
        <v>3</v>
      </c>
      <c r="F80" s="5" t="s">
        <v>4</v>
      </c>
      <c r="G80" s="89" t="s">
        <v>6</v>
      </c>
      <c r="H80" s="83" t="s">
        <v>7</v>
      </c>
      <c r="I80" s="83" t="s">
        <v>52</v>
      </c>
      <c r="J80" s="83" t="s">
        <v>53</v>
      </c>
      <c r="K80" s="5" t="s">
        <v>10</v>
      </c>
      <c r="L80" s="5" t="s">
        <v>11</v>
      </c>
    </row>
    <row r="81" spans="2:15" ht="12" customHeight="1" x14ac:dyDescent="0.2">
      <c r="B81" s="58"/>
      <c r="C81" s="59"/>
      <c r="D81" s="59"/>
      <c r="E81" s="13"/>
      <c r="F81" s="13"/>
      <c r="G81" s="24"/>
      <c r="H81" s="60"/>
      <c r="I81" s="61"/>
      <c r="J81" s="61"/>
      <c r="K81" s="61"/>
      <c r="L81" s="60">
        <f>L75</f>
        <v>117874.17000000003</v>
      </c>
    </row>
    <row r="82" spans="2:15" x14ac:dyDescent="0.2">
      <c r="B82" s="110">
        <v>43862</v>
      </c>
      <c r="C82" s="111" t="s">
        <v>730</v>
      </c>
      <c r="D82" s="11"/>
      <c r="E82" s="15"/>
      <c r="F82" s="13"/>
      <c r="G82" s="15" t="s">
        <v>535</v>
      </c>
      <c r="H82" s="112">
        <v>144</v>
      </c>
      <c r="I82" s="12">
        <f>H82*0.32</f>
        <v>46.08</v>
      </c>
      <c r="J82" s="12">
        <f>H82*0.68</f>
        <v>97.92</v>
      </c>
      <c r="K82" s="12"/>
      <c r="L82" s="63">
        <f>+J82-K82+L81</f>
        <v>117972.09000000003</v>
      </c>
      <c r="M82" s="417">
        <f>H82-[2]FEBRERO!$K$4</f>
        <v>0</v>
      </c>
      <c r="N82" s="26">
        <v>0</v>
      </c>
      <c r="O82" s="26">
        <v>0</v>
      </c>
    </row>
    <row r="83" spans="2:15" ht="21" customHeight="1" x14ac:dyDescent="0.2">
      <c r="B83" s="110">
        <v>43864</v>
      </c>
      <c r="C83" s="111" t="s">
        <v>730</v>
      </c>
      <c r="D83" s="11"/>
      <c r="E83" s="15"/>
      <c r="F83" s="13"/>
      <c r="G83" s="15" t="s">
        <v>535</v>
      </c>
      <c r="H83" s="112">
        <v>144</v>
      </c>
      <c r="I83" s="12">
        <f t="shared" ref="I83:I126" si="6">H83*0.32</f>
        <v>46.08</v>
      </c>
      <c r="J83" s="12">
        <f t="shared" ref="J83:J126" si="7">H83*0.68</f>
        <v>97.92</v>
      </c>
      <c r="K83" s="12"/>
      <c r="L83" s="63">
        <f>+J83-K83+L82</f>
        <v>118070.01000000002</v>
      </c>
      <c r="M83" s="417">
        <f>H83-[2]FEBRERO!$K$9</f>
        <v>-308</v>
      </c>
      <c r="N83" s="417">
        <f>M83*-1</f>
        <v>308</v>
      </c>
      <c r="O83" s="26">
        <v>308</v>
      </c>
    </row>
    <row r="84" spans="2:15" x14ac:dyDescent="0.2">
      <c r="B84" s="110">
        <v>43866</v>
      </c>
      <c r="C84" s="111" t="s">
        <v>730</v>
      </c>
      <c r="D84" s="11"/>
      <c r="E84" s="15"/>
      <c r="F84" s="13"/>
      <c r="G84" s="15" t="s">
        <v>535</v>
      </c>
      <c r="H84" s="112">
        <v>884</v>
      </c>
      <c r="I84" s="12">
        <f t="shared" si="6"/>
        <v>282.88</v>
      </c>
      <c r="J84" s="12">
        <f t="shared" si="7"/>
        <v>601.12</v>
      </c>
      <c r="K84" s="12"/>
      <c r="L84" s="63">
        <f t="shared" ref="L84:L151" si="8">+J84-K84+L83</f>
        <v>118671.13000000002</v>
      </c>
      <c r="M84" s="417">
        <f>H84-[2]FEBRERO!$K$16</f>
        <v>-308</v>
      </c>
      <c r="N84" s="417">
        <f t="shared" ref="N84:N104" si="9">M84*-1</f>
        <v>308</v>
      </c>
      <c r="O84" s="26">
        <v>308</v>
      </c>
    </row>
    <row r="85" spans="2:15" x14ac:dyDescent="0.2">
      <c r="B85" s="110">
        <v>43867</v>
      </c>
      <c r="C85" s="111" t="s">
        <v>730</v>
      </c>
      <c r="D85" s="77"/>
      <c r="E85" s="15"/>
      <c r="F85" s="13"/>
      <c r="G85" s="15" t="s">
        <v>535</v>
      </c>
      <c r="H85" s="112">
        <v>164</v>
      </c>
      <c r="I85" s="12">
        <f t="shared" si="6"/>
        <v>52.480000000000004</v>
      </c>
      <c r="J85" s="12">
        <f t="shared" si="7"/>
        <v>111.52000000000001</v>
      </c>
      <c r="K85" s="12"/>
      <c r="L85" s="63">
        <f>+J85-K85+L84</f>
        <v>118782.65000000002</v>
      </c>
      <c r="M85" s="417">
        <f>H85-[2]FEBRERO!$K$18</f>
        <v>0</v>
      </c>
      <c r="N85" s="417">
        <f t="shared" si="9"/>
        <v>0</v>
      </c>
      <c r="O85" s="26">
        <v>0</v>
      </c>
    </row>
    <row r="86" spans="2:15" x14ac:dyDescent="0.2">
      <c r="B86" s="110">
        <v>43868</v>
      </c>
      <c r="C86" s="111" t="s">
        <v>730</v>
      </c>
      <c r="D86" s="11"/>
      <c r="E86" s="15"/>
      <c r="F86" s="67"/>
      <c r="G86" s="15" t="s">
        <v>535</v>
      </c>
      <c r="H86" s="112">
        <v>194</v>
      </c>
      <c r="I86" s="12">
        <f t="shared" si="6"/>
        <v>62.08</v>
      </c>
      <c r="J86" s="12">
        <f t="shared" si="7"/>
        <v>131.92000000000002</v>
      </c>
      <c r="K86" s="12"/>
      <c r="L86" s="63">
        <f t="shared" si="8"/>
        <v>118914.57000000002</v>
      </c>
      <c r="M86" s="417">
        <f>H86-[2]FEBRERO!$K$24</f>
        <v>-144</v>
      </c>
      <c r="N86" s="417">
        <f t="shared" si="9"/>
        <v>144</v>
      </c>
      <c r="O86" s="26">
        <v>144</v>
      </c>
    </row>
    <row r="87" spans="2:15" x14ac:dyDescent="0.2">
      <c r="B87" s="110">
        <v>43869</v>
      </c>
      <c r="C87" s="111" t="s">
        <v>730</v>
      </c>
      <c r="D87" s="11"/>
      <c r="E87" s="15"/>
      <c r="F87" s="67"/>
      <c r="G87" s="15" t="s">
        <v>535</v>
      </c>
      <c r="H87" s="112">
        <v>200</v>
      </c>
      <c r="I87" s="12">
        <f t="shared" si="6"/>
        <v>64</v>
      </c>
      <c r="J87" s="12">
        <f t="shared" si="7"/>
        <v>136</v>
      </c>
      <c r="K87" s="12"/>
      <c r="L87" s="63">
        <f t="shared" si="8"/>
        <v>119050.57000000002</v>
      </c>
      <c r="M87" s="417">
        <f>H87-[2]FEBRERO!$K$28</f>
        <v>0</v>
      </c>
      <c r="N87" s="417">
        <f t="shared" si="9"/>
        <v>0</v>
      </c>
      <c r="O87" s="26">
        <v>0</v>
      </c>
    </row>
    <row r="88" spans="2:15" x14ac:dyDescent="0.2">
      <c r="B88" s="110">
        <v>43871</v>
      </c>
      <c r="C88" s="111" t="s">
        <v>730</v>
      </c>
      <c r="D88" s="11"/>
      <c r="E88" s="15"/>
      <c r="F88" s="67"/>
      <c r="G88" s="15" t="s">
        <v>535</v>
      </c>
      <c r="H88" s="112">
        <v>100</v>
      </c>
      <c r="I88" s="12">
        <f t="shared" si="6"/>
        <v>32</v>
      </c>
      <c r="J88" s="12">
        <f t="shared" si="7"/>
        <v>68</v>
      </c>
      <c r="K88" s="12"/>
      <c r="L88" s="63">
        <f t="shared" si="8"/>
        <v>119118.57000000002</v>
      </c>
      <c r="M88" s="417">
        <f>H88-[2]FEBRERO!$K$32</f>
        <v>-154</v>
      </c>
      <c r="N88" s="417">
        <f t="shared" si="9"/>
        <v>154</v>
      </c>
      <c r="O88" s="26">
        <v>154</v>
      </c>
    </row>
    <row r="89" spans="2:15" x14ac:dyDescent="0.2">
      <c r="B89" s="110">
        <v>43872</v>
      </c>
      <c r="C89" s="111" t="s">
        <v>730</v>
      </c>
      <c r="D89" s="11"/>
      <c r="E89" s="15"/>
      <c r="F89" s="67"/>
      <c r="G89" s="15" t="s">
        <v>535</v>
      </c>
      <c r="H89" s="112">
        <v>1028</v>
      </c>
      <c r="I89" s="12">
        <f t="shared" si="6"/>
        <v>328.96</v>
      </c>
      <c r="J89" s="12">
        <f t="shared" si="7"/>
        <v>699.04000000000008</v>
      </c>
      <c r="K89" s="12"/>
      <c r="L89" s="63">
        <f t="shared" si="8"/>
        <v>119817.61000000002</v>
      </c>
      <c r="M89" s="417">
        <f>H89-[2]FEBRERO!$K$40</f>
        <v>0</v>
      </c>
      <c r="N89" s="417">
        <f t="shared" si="9"/>
        <v>0</v>
      </c>
      <c r="O89" s="26">
        <v>0</v>
      </c>
    </row>
    <row r="90" spans="2:15" x14ac:dyDescent="0.2">
      <c r="B90" s="110">
        <v>43873</v>
      </c>
      <c r="C90" s="111" t="s">
        <v>730</v>
      </c>
      <c r="D90" s="11"/>
      <c r="E90" s="15"/>
      <c r="F90" s="67"/>
      <c r="G90" s="15" t="s">
        <v>535</v>
      </c>
      <c r="H90" s="112">
        <v>786</v>
      </c>
      <c r="I90" s="12">
        <f t="shared" si="6"/>
        <v>251.52</v>
      </c>
      <c r="J90" s="12">
        <f t="shared" si="7"/>
        <v>534.48</v>
      </c>
      <c r="K90" s="12"/>
      <c r="L90" s="63">
        <f t="shared" si="8"/>
        <v>120352.09000000001</v>
      </c>
      <c r="M90" s="417">
        <f>H90-[2]FEBRERO!$K$47</f>
        <v>-308</v>
      </c>
      <c r="N90" s="417">
        <f t="shared" si="9"/>
        <v>308</v>
      </c>
      <c r="O90" s="26">
        <v>308</v>
      </c>
    </row>
    <row r="91" spans="2:15" x14ac:dyDescent="0.2">
      <c r="B91" s="110">
        <v>43874</v>
      </c>
      <c r="C91" s="111" t="s">
        <v>730</v>
      </c>
      <c r="D91" s="11"/>
      <c r="E91" s="15"/>
      <c r="F91" s="67"/>
      <c r="G91" s="15" t="s">
        <v>535</v>
      </c>
      <c r="H91" s="112">
        <v>576</v>
      </c>
      <c r="I91" s="12">
        <f t="shared" si="6"/>
        <v>184.32</v>
      </c>
      <c r="J91" s="12">
        <f t="shared" si="7"/>
        <v>391.68</v>
      </c>
      <c r="K91" s="12"/>
      <c r="L91" s="63">
        <f t="shared" si="8"/>
        <v>120743.77</v>
      </c>
      <c r="M91" s="417">
        <f>H91-[2]FEBRERO!$K$53</f>
        <v>0</v>
      </c>
      <c r="N91" s="417">
        <f t="shared" si="9"/>
        <v>0</v>
      </c>
      <c r="O91" s="26">
        <v>0</v>
      </c>
    </row>
    <row r="92" spans="2:15" x14ac:dyDescent="0.2">
      <c r="B92" s="110">
        <v>43875</v>
      </c>
      <c r="C92" s="111" t="s">
        <v>730</v>
      </c>
      <c r="D92" s="11"/>
      <c r="E92" s="15"/>
      <c r="F92" s="67"/>
      <c r="G92" s="15" t="s">
        <v>535</v>
      </c>
      <c r="H92" s="112">
        <v>1652</v>
      </c>
      <c r="I92" s="12">
        <f t="shared" si="6"/>
        <v>528.64</v>
      </c>
      <c r="J92" s="12">
        <f t="shared" si="7"/>
        <v>1123.3600000000001</v>
      </c>
      <c r="K92" s="12"/>
      <c r="L92" s="63">
        <f t="shared" si="8"/>
        <v>121867.13</v>
      </c>
      <c r="M92" s="417">
        <f>H92-[2]FEBRERO!$K$64</f>
        <v>-308</v>
      </c>
      <c r="N92" s="417">
        <f t="shared" si="9"/>
        <v>308</v>
      </c>
      <c r="O92" s="26">
        <v>308</v>
      </c>
    </row>
    <row r="93" spans="2:15" x14ac:dyDescent="0.2">
      <c r="B93" s="110"/>
      <c r="C93" s="111"/>
      <c r="D93" s="11"/>
      <c r="E93" s="15"/>
      <c r="F93" s="67"/>
      <c r="G93" s="15"/>
      <c r="H93" s="112"/>
      <c r="I93" s="12"/>
      <c r="J93" s="12"/>
      <c r="K93" s="12"/>
      <c r="L93" s="63"/>
      <c r="M93" s="417">
        <v>-284</v>
      </c>
      <c r="N93" s="417">
        <f t="shared" si="9"/>
        <v>284</v>
      </c>
      <c r="O93" s="26">
        <v>284</v>
      </c>
    </row>
    <row r="94" spans="2:15" x14ac:dyDescent="0.2">
      <c r="B94" s="110">
        <v>43878</v>
      </c>
      <c r="C94" s="111" t="s">
        <v>740</v>
      </c>
      <c r="D94" s="11"/>
      <c r="E94" s="15"/>
      <c r="F94" s="67"/>
      <c r="G94" s="15" t="s">
        <v>537</v>
      </c>
      <c r="H94" s="112">
        <f>972-520</f>
        <v>452</v>
      </c>
      <c r="I94" s="12">
        <f t="shared" si="6"/>
        <v>144.64000000000001</v>
      </c>
      <c r="J94" s="12">
        <f t="shared" si="7"/>
        <v>307.36</v>
      </c>
      <c r="K94" s="12"/>
      <c r="L94" s="63">
        <f>+J94-K94+L92</f>
        <v>122174.49</v>
      </c>
      <c r="M94" s="417">
        <f>H94-[2]FEBRERO!$K$72</f>
        <v>0</v>
      </c>
      <c r="N94" s="417">
        <f t="shared" si="9"/>
        <v>0</v>
      </c>
      <c r="O94" s="26">
        <v>0</v>
      </c>
    </row>
    <row r="95" spans="2:15" x14ac:dyDescent="0.2">
      <c r="B95" s="110">
        <v>43879</v>
      </c>
      <c r="C95" s="111" t="s">
        <v>740</v>
      </c>
      <c r="D95" s="11"/>
      <c r="E95" s="15"/>
      <c r="F95" s="67"/>
      <c r="G95" s="15" t="s">
        <v>537</v>
      </c>
      <c r="H95" s="112">
        <v>100</v>
      </c>
      <c r="I95" s="12">
        <f t="shared" si="6"/>
        <v>32</v>
      </c>
      <c r="J95" s="12">
        <f t="shared" si="7"/>
        <v>68</v>
      </c>
      <c r="K95" s="12"/>
      <c r="L95" s="63">
        <f t="shared" si="8"/>
        <v>122242.49</v>
      </c>
      <c r="M95" s="417">
        <f>H95-[2]FEBRERO!$K$78</f>
        <v>-194</v>
      </c>
      <c r="N95" s="417">
        <f t="shared" si="9"/>
        <v>194</v>
      </c>
      <c r="O95" s="26">
        <v>194</v>
      </c>
    </row>
    <row r="96" spans="2:15" x14ac:dyDescent="0.2">
      <c r="B96" s="110">
        <v>43880</v>
      </c>
      <c r="C96" s="111" t="s">
        <v>740</v>
      </c>
      <c r="D96" s="11"/>
      <c r="E96" s="15"/>
      <c r="F96" s="67"/>
      <c r="G96" s="15" t="s">
        <v>537</v>
      </c>
      <c r="H96" s="112">
        <v>602</v>
      </c>
      <c r="I96" s="12">
        <f t="shared" si="6"/>
        <v>192.64000000000001</v>
      </c>
      <c r="J96" s="12">
        <f t="shared" si="7"/>
        <v>409.36</v>
      </c>
      <c r="K96" s="12"/>
      <c r="L96" s="63">
        <f t="shared" si="8"/>
        <v>122651.85</v>
      </c>
      <c r="M96" s="417">
        <f>H96-[2]FEBRERO!$K$88</f>
        <v>-482</v>
      </c>
      <c r="N96" s="417">
        <f t="shared" si="9"/>
        <v>482</v>
      </c>
      <c r="O96" s="26">
        <v>482</v>
      </c>
    </row>
    <row r="97" spans="2:15" x14ac:dyDescent="0.2">
      <c r="B97" s="110">
        <v>43881</v>
      </c>
      <c r="C97" s="111" t="s">
        <v>740</v>
      </c>
      <c r="D97" s="77"/>
      <c r="E97" s="15"/>
      <c r="F97" s="13"/>
      <c r="G97" s="15" t="s">
        <v>537</v>
      </c>
      <c r="H97" s="112">
        <v>1340</v>
      </c>
      <c r="I97" s="12">
        <f t="shared" si="6"/>
        <v>428.8</v>
      </c>
      <c r="J97" s="12">
        <f t="shared" si="7"/>
        <v>911.2</v>
      </c>
      <c r="K97" s="12"/>
      <c r="L97" s="63">
        <f t="shared" si="8"/>
        <v>123563.05</v>
      </c>
      <c r="M97" s="417">
        <f>H97-[2]FEBRERO!$K$96</f>
        <v>-50</v>
      </c>
      <c r="N97" s="417">
        <f t="shared" si="9"/>
        <v>50</v>
      </c>
      <c r="O97" s="26">
        <v>50</v>
      </c>
    </row>
    <row r="98" spans="2:15" x14ac:dyDescent="0.2">
      <c r="B98" s="110">
        <v>43882</v>
      </c>
      <c r="C98" s="111" t="s">
        <v>740</v>
      </c>
      <c r="D98" s="77"/>
      <c r="E98" s="15"/>
      <c r="F98" s="13"/>
      <c r="G98" s="15" t="s">
        <v>537</v>
      </c>
      <c r="H98" s="112">
        <v>318</v>
      </c>
      <c r="I98" s="12">
        <f t="shared" si="6"/>
        <v>101.76</v>
      </c>
      <c r="J98" s="12">
        <f t="shared" si="7"/>
        <v>216.24</v>
      </c>
      <c r="K98" s="12"/>
      <c r="L98" s="63">
        <f t="shared" si="8"/>
        <v>123779.29000000001</v>
      </c>
      <c r="M98" s="417">
        <f>H98-[2]FEBRERO!$K$105</f>
        <v>-716</v>
      </c>
      <c r="N98" s="417">
        <f t="shared" si="9"/>
        <v>716</v>
      </c>
      <c r="O98" s="26">
        <v>716</v>
      </c>
    </row>
    <row r="99" spans="2:15" x14ac:dyDescent="0.2">
      <c r="B99" s="110">
        <v>43883</v>
      </c>
      <c r="C99" s="111" t="s">
        <v>740</v>
      </c>
      <c r="D99" s="77"/>
      <c r="E99" s="15"/>
      <c r="F99" s="13"/>
      <c r="G99" s="15" t="s">
        <v>537</v>
      </c>
      <c r="H99" s="112">
        <v>144</v>
      </c>
      <c r="I99" s="12">
        <f t="shared" si="6"/>
        <v>46.08</v>
      </c>
      <c r="J99" s="12">
        <f t="shared" si="7"/>
        <v>97.92</v>
      </c>
      <c r="K99" s="12"/>
      <c r="L99" s="63">
        <f t="shared" si="8"/>
        <v>123877.21</v>
      </c>
      <c r="M99" s="417">
        <f>H99-[2]FEBRERO!$K$110</f>
        <v>-308</v>
      </c>
      <c r="N99" s="417">
        <f t="shared" si="9"/>
        <v>308</v>
      </c>
      <c r="O99" s="26">
        <v>308</v>
      </c>
    </row>
    <row r="100" spans="2:15" x14ac:dyDescent="0.2">
      <c r="B100" s="110">
        <v>43885</v>
      </c>
      <c r="C100" s="111" t="s">
        <v>740</v>
      </c>
      <c r="D100" s="77"/>
      <c r="E100" s="15"/>
      <c r="F100" s="13"/>
      <c r="G100" s="15" t="s">
        <v>537</v>
      </c>
      <c r="H100" s="112">
        <v>144</v>
      </c>
      <c r="I100" s="12">
        <f t="shared" si="6"/>
        <v>46.08</v>
      </c>
      <c r="J100" s="12">
        <f t="shared" si="7"/>
        <v>97.92</v>
      </c>
      <c r="K100" s="12"/>
      <c r="L100" s="63">
        <f t="shared" si="8"/>
        <v>123975.13</v>
      </c>
      <c r="M100" s="417">
        <f>H100-[2]FEBRERO!$K$114</f>
        <v>-144</v>
      </c>
      <c r="N100" s="417">
        <f t="shared" si="9"/>
        <v>144</v>
      </c>
      <c r="O100" s="26">
        <v>144</v>
      </c>
    </row>
    <row r="101" spans="2:15" x14ac:dyDescent="0.2">
      <c r="B101" s="110">
        <v>43886</v>
      </c>
      <c r="C101" s="111" t="s">
        <v>740</v>
      </c>
      <c r="D101" s="11"/>
      <c r="E101" s="15"/>
      <c r="F101" s="13"/>
      <c r="G101" s="15" t="s">
        <v>537</v>
      </c>
      <c r="H101" s="112">
        <f>288-288</f>
        <v>0</v>
      </c>
      <c r="I101" s="12">
        <f t="shared" si="6"/>
        <v>0</v>
      </c>
      <c r="J101" s="12">
        <f t="shared" si="7"/>
        <v>0</v>
      </c>
      <c r="K101" s="12"/>
      <c r="L101" s="63">
        <f t="shared" si="8"/>
        <v>123975.13</v>
      </c>
      <c r="M101" s="417"/>
      <c r="N101" s="417">
        <f t="shared" si="9"/>
        <v>0</v>
      </c>
      <c r="O101" s="26">
        <v>0</v>
      </c>
    </row>
    <row r="102" spans="2:15" x14ac:dyDescent="0.2">
      <c r="B102" s="110">
        <v>43887</v>
      </c>
      <c r="C102" s="111" t="s">
        <v>740</v>
      </c>
      <c r="D102" s="11"/>
      <c r="E102" s="15"/>
      <c r="F102" s="13"/>
      <c r="G102" s="15" t="s">
        <v>537</v>
      </c>
      <c r="H102" s="112">
        <v>388</v>
      </c>
      <c r="I102" s="12">
        <f t="shared" si="6"/>
        <v>124.16</v>
      </c>
      <c r="J102" s="12">
        <f t="shared" si="7"/>
        <v>263.84000000000003</v>
      </c>
      <c r="K102" s="12"/>
      <c r="L102" s="63">
        <f t="shared" si="8"/>
        <v>124238.97</v>
      </c>
      <c r="M102" s="25">
        <f>H102-[2]FEBRERO!$K$118</f>
        <v>-20</v>
      </c>
      <c r="N102" s="417">
        <f t="shared" si="9"/>
        <v>20</v>
      </c>
      <c r="O102" s="26">
        <v>20</v>
      </c>
    </row>
    <row r="103" spans="2:15" x14ac:dyDescent="0.2">
      <c r="B103" s="110">
        <v>43888</v>
      </c>
      <c r="C103" s="111" t="s">
        <v>740</v>
      </c>
      <c r="D103" s="11"/>
      <c r="E103" s="15"/>
      <c r="F103" s="13"/>
      <c r="G103" s="15" t="s">
        <v>537</v>
      </c>
      <c r="H103" s="112">
        <v>482</v>
      </c>
      <c r="I103" s="12">
        <f t="shared" si="6"/>
        <v>154.24</v>
      </c>
      <c r="J103" s="12">
        <f t="shared" si="7"/>
        <v>327.76000000000005</v>
      </c>
      <c r="K103" s="12"/>
      <c r="L103" s="63">
        <f t="shared" si="8"/>
        <v>124566.73</v>
      </c>
      <c r="M103" s="25">
        <f>H103-[2]FEBRERO!$K$123</f>
        <v>0</v>
      </c>
      <c r="N103" s="417">
        <f t="shared" si="9"/>
        <v>0</v>
      </c>
      <c r="O103" s="26">
        <v>0</v>
      </c>
    </row>
    <row r="104" spans="2:15" x14ac:dyDescent="0.2">
      <c r="B104" s="110">
        <v>43889</v>
      </c>
      <c r="C104" s="111" t="s">
        <v>740</v>
      </c>
      <c r="D104" s="11"/>
      <c r="E104" s="15"/>
      <c r="F104" s="13"/>
      <c r="G104" s="15" t="s">
        <v>537</v>
      </c>
      <c r="H104" s="112">
        <v>30</v>
      </c>
      <c r="I104" s="12">
        <f t="shared" si="6"/>
        <v>9.6</v>
      </c>
      <c r="J104" s="12">
        <f t="shared" si="7"/>
        <v>20.400000000000002</v>
      </c>
      <c r="K104" s="12"/>
      <c r="L104" s="63">
        <f t="shared" si="8"/>
        <v>124587.12999999999</v>
      </c>
      <c r="M104" s="25">
        <f>H104-[2]FEBRERO!$K$130</f>
        <v>-572</v>
      </c>
      <c r="N104" s="417">
        <f t="shared" si="9"/>
        <v>572</v>
      </c>
      <c r="O104" s="26">
        <v>572</v>
      </c>
    </row>
    <row r="105" spans="2:15" x14ac:dyDescent="0.2">
      <c r="B105" s="110"/>
      <c r="C105" s="111"/>
      <c r="D105" s="11"/>
      <c r="E105" s="15"/>
      <c r="F105" s="13"/>
      <c r="G105" s="15"/>
      <c r="H105" s="112"/>
      <c r="I105" s="12">
        <f t="shared" si="6"/>
        <v>0</v>
      </c>
      <c r="J105" s="12">
        <f t="shared" si="7"/>
        <v>0</v>
      </c>
      <c r="K105" s="12"/>
      <c r="L105" s="63">
        <f t="shared" si="8"/>
        <v>124587.12999999999</v>
      </c>
      <c r="M105" s="25"/>
    </row>
    <row r="106" spans="2:15" x14ac:dyDescent="0.2">
      <c r="B106" s="110">
        <v>43862</v>
      </c>
      <c r="C106" s="405" t="s">
        <v>755</v>
      </c>
      <c r="D106" s="11"/>
      <c r="E106" s="15"/>
      <c r="F106" s="13"/>
      <c r="G106" s="15"/>
      <c r="H106" s="349">
        <v>0</v>
      </c>
      <c r="I106" s="12">
        <f t="shared" si="6"/>
        <v>0</v>
      </c>
      <c r="J106" s="12">
        <f t="shared" si="7"/>
        <v>0</v>
      </c>
      <c r="K106" s="12"/>
      <c r="L106" s="63">
        <f t="shared" si="8"/>
        <v>124587.12999999999</v>
      </c>
      <c r="M106" s="25"/>
    </row>
    <row r="107" spans="2:15" x14ac:dyDescent="0.2">
      <c r="B107" s="110">
        <v>43864</v>
      </c>
      <c r="C107" s="405" t="s">
        <v>755</v>
      </c>
      <c r="D107" s="11"/>
      <c r="E107" s="15"/>
      <c r="F107" s="13"/>
      <c r="G107" s="15"/>
      <c r="H107" s="349">
        <v>308</v>
      </c>
      <c r="I107" s="12">
        <f t="shared" si="6"/>
        <v>98.56</v>
      </c>
      <c r="J107" s="12">
        <f t="shared" si="7"/>
        <v>209.44000000000003</v>
      </c>
      <c r="K107" s="12"/>
      <c r="L107" s="63">
        <f t="shared" si="8"/>
        <v>124796.56999999999</v>
      </c>
      <c r="M107" s="25"/>
    </row>
    <row r="108" spans="2:15" x14ac:dyDescent="0.2">
      <c r="B108" s="110">
        <v>43866</v>
      </c>
      <c r="C108" s="405" t="s">
        <v>755</v>
      </c>
      <c r="D108" s="11"/>
      <c r="E108" s="15"/>
      <c r="F108" s="13"/>
      <c r="G108" s="15"/>
      <c r="H108" s="349">
        <v>308</v>
      </c>
      <c r="I108" s="12">
        <f t="shared" si="6"/>
        <v>98.56</v>
      </c>
      <c r="J108" s="12">
        <f t="shared" si="7"/>
        <v>209.44000000000003</v>
      </c>
      <c r="K108" s="12"/>
      <c r="L108" s="63">
        <f t="shared" si="8"/>
        <v>125006.01</v>
      </c>
      <c r="M108" s="25"/>
    </row>
    <row r="109" spans="2:15" x14ac:dyDescent="0.2">
      <c r="B109" s="110">
        <v>43867</v>
      </c>
      <c r="C109" s="405" t="s">
        <v>755</v>
      </c>
      <c r="D109" s="11"/>
      <c r="E109" s="15"/>
      <c r="F109" s="13"/>
      <c r="G109" s="15"/>
      <c r="H109" s="349">
        <v>0</v>
      </c>
      <c r="I109" s="12">
        <f t="shared" si="6"/>
        <v>0</v>
      </c>
      <c r="J109" s="12">
        <f t="shared" si="7"/>
        <v>0</v>
      </c>
      <c r="K109" s="12"/>
      <c r="L109" s="63">
        <f t="shared" si="8"/>
        <v>125006.01</v>
      </c>
      <c r="M109" s="25"/>
    </row>
    <row r="110" spans="2:15" x14ac:dyDescent="0.2">
      <c r="B110" s="110">
        <v>43868</v>
      </c>
      <c r="C110" s="405" t="s">
        <v>755</v>
      </c>
      <c r="D110" s="11"/>
      <c r="E110" s="15"/>
      <c r="F110" s="13"/>
      <c r="G110" s="15"/>
      <c r="H110" s="349">
        <v>144</v>
      </c>
      <c r="I110" s="12">
        <f t="shared" si="6"/>
        <v>46.08</v>
      </c>
      <c r="J110" s="12">
        <f t="shared" si="7"/>
        <v>97.92</v>
      </c>
      <c r="K110" s="12"/>
      <c r="L110" s="63">
        <f t="shared" si="8"/>
        <v>125103.93</v>
      </c>
      <c r="M110" s="25"/>
    </row>
    <row r="111" spans="2:15" x14ac:dyDescent="0.2">
      <c r="B111" s="110">
        <v>43869</v>
      </c>
      <c r="C111" s="405" t="s">
        <v>755</v>
      </c>
      <c r="D111" s="11"/>
      <c r="E111" s="15"/>
      <c r="F111" s="13"/>
      <c r="G111" s="15"/>
      <c r="H111" s="349">
        <v>0</v>
      </c>
      <c r="I111" s="12">
        <f t="shared" si="6"/>
        <v>0</v>
      </c>
      <c r="J111" s="12">
        <f t="shared" si="7"/>
        <v>0</v>
      </c>
      <c r="K111" s="12"/>
      <c r="L111" s="63">
        <f t="shared" si="8"/>
        <v>125103.93</v>
      </c>
      <c r="M111" s="25"/>
    </row>
    <row r="112" spans="2:15" x14ac:dyDescent="0.2">
      <c r="B112" s="110">
        <v>43871</v>
      </c>
      <c r="C112" s="405" t="s">
        <v>755</v>
      </c>
      <c r="D112" s="11"/>
      <c r="E112" s="15"/>
      <c r="F112" s="13"/>
      <c r="G112" s="15"/>
      <c r="H112" s="349">
        <v>154</v>
      </c>
      <c r="I112" s="12">
        <f t="shared" si="6"/>
        <v>49.28</v>
      </c>
      <c r="J112" s="12">
        <f t="shared" si="7"/>
        <v>104.72000000000001</v>
      </c>
      <c r="K112" s="12"/>
      <c r="L112" s="63">
        <f t="shared" si="8"/>
        <v>125208.65</v>
      </c>
      <c r="M112" s="25"/>
    </row>
    <row r="113" spans="2:13" x14ac:dyDescent="0.2">
      <c r="B113" s="110">
        <v>43872</v>
      </c>
      <c r="C113" s="405" t="s">
        <v>755</v>
      </c>
      <c r="D113" s="11"/>
      <c r="E113" s="15"/>
      <c r="F113" s="13"/>
      <c r="G113" s="15"/>
      <c r="H113" s="349">
        <v>0</v>
      </c>
      <c r="I113" s="12">
        <f t="shared" si="6"/>
        <v>0</v>
      </c>
      <c r="J113" s="12">
        <f t="shared" si="7"/>
        <v>0</v>
      </c>
      <c r="K113" s="12"/>
      <c r="L113" s="63">
        <f t="shared" si="8"/>
        <v>125208.65</v>
      </c>
      <c r="M113" s="25"/>
    </row>
    <row r="114" spans="2:13" x14ac:dyDescent="0.2">
      <c r="B114" s="110">
        <v>43873</v>
      </c>
      <c r="C114" s="405" t="s">
        <v>755</v>
      </c>
      <c r="D114" s="11"/>
      <c r="E114" s="15"/>
      <c r="F114" s="13"/>
      <c r="G114" s="15"/>
      <c r="H114" s="349">
        <v>308</v>
      </c>
      <c r="I114" s="12">
        <f t="shared" si="6"/>
        <v>98.56</v>
      </c>
      <c r="J114" s="12">
        <f t="shared" si="7"/>
        <v>209.44000000000003</v>
      </c>
      <c r="K114" s="12"/>
      <c r="L114" s="63">
        <f t="shared" si="8"/>
        <v>125418.09</v>
      </c>
      <c r="M114" s="25"/>
    </row>
    <row r="115" spans="2:13" x14ac:dyDescent="0.2">
      <c r="B115" s="110">
        <v>43874</v>
      </c>
      <c r="C115" s="405" t="s">
        <v>755</v>
      </c>
      <c r="D115" s="11"/>
      <c r="E115" s="15"/>
      <c r="F115" s="13"/>
      <c r="G115" s="15"/>
      <c r="H115" s="349">
        <v>0</v>
      </c>
      <c r="I115" s="12">
        <f t="shared" si="6"/>
        <v>0</v>
      </c>
      <c r="J115" s="12">
        <f t="shared" si="7"/>
        <v>0</v>
      </c>
      <c r="K115" s="12"/>
      <c r="L115" s="63">
        <f t="shared" si="8"/>
        <v>125418.09</v>
      </c>
      <c r="M115" s="25"/>
    </row>
    <row r="116" spans="2:13" x14ac:dyDescent="0.2">
      <c r="B116" s="110">
        <v>43875</v>
      </c>
      <c r="C116" s="405" t="s">
        <v>755</v>
      </c>
      <c r="D116" s="11"/>
      <c r="E116" s="15"/>
      <c r="F116" s="13"/>
      <c r="G116" s="15"/>
      <c r="H116" s="349">
        <v>308</v>
      </c>
      <c r="I116" s="12">
        <f t="shared" si="6"/>
        <v>98.56</v>
      </c>
      <c r="J116" s="12">
        <f t="shared" si="7"/>
        <v>209.44000000000003</v>
      </c>
      <c r="K116" s="12"/>
      <c r="L116" s="63">
        <f t="shared" si="8"/>
        <v>125627.53</v>
      </c>
      <c r="M116" s="25"/>
    </row>
    <row r="117" spans="2:13" x14ac:dyDescent="0.2">
      <c r="B117" s="110">
        <v>43876</v>
      </c>
      <c r="C117" s="405" t="s">
        <v>755</v>
      </c>
      <c r="D117" s="11"/>
      <c r="E117" s="15"/>
      <c r="F117" s="13"/>
      <c r="G117" s="15"/>
      <c r="H117" s="349">
        <v>284</v>
      </c>
      <c r="I117" s="12">
        <f t="shared" si="6"/>
        <v>90.88</v>
      </c>
      <c r="J117" s="12">
        <f t="shared" si="7"/>
        <v>193.12</v>
      </c>
      <c r="K117" s="12"/>
      <c r="L117" s="63">
        <f t="shared" si="8"/>
        <v>125820.65</v>
      </c>
      <c r="M117" s="25"/>
    </row>
    <row r="118" spans="2:13" x14ac:dyDescent="0.2">
      <c r="B118" s="110">
        <v>43878</v>
      </c>
      <c r="C118" s="405" t="s">
        <v>755</v>
      </c>
      <c r="D118" s="11"/>
      <c r="E118" s="15"/>
      <c r="F118" s="13"/>
      <c r="G118" s="15"/>
      <c r="H118" s="349">
        <v>0</v>
      </c>
      <c r="I118" s="12">
        <f t="shared" si="6"/>
        <v>0</v>
      </c>
      <c r="J118" s="12">
        <f t="shared" si="7"/>
        <v>0</v>
      </c>
      <c r="K118" s="12"/>
      <c r="L118" s="63">
        <f t="shared" si="8"/>
        <v>125820.65</v>
      </c>
      <c r="M118" s="25"/>
    </row>
    <row r="119" spans="2:13" x14ac:dyDescent="0.2">
      <c r="B119" s="110">
        <v>43879</v>
      </c>
      <c r="C119" s="405" t="s">
        <v>755</v>
      </c>
      <c r="D119" s="11"/>
      <c r="E119" s="15"/>
      <c r="F119" s="13"/>
      <c r="G119" s="15"/>
      <c r="H119" s="349">
        <v>194</v>
      </c>
      <c r="I119" s="12">
        <f t="shared" si="6"/>
        <v>62.08</v>
      </c>
      <c r="J119" s="12">
        <f t="shared" si="7"/>
        <v>131.92000000000002</v>
      </c>
      <c r="K119" s="12"/>
      <c r="L119" s="63">
        <f t="shared" si="8"/>
        <v>125952.56999999999</v>
      </c>
      <c r="M119" s="25"/>
    </row>
    <row r="120" spans="2:13" x14ac:dyDescent="0.2">
      <c r="B120" s="110">
        <v>43880</v>
      </c>
      <c r="C120" s="405" t="s">
        <v>755</v>
      </c>
      <c r="D120" s="11"/>
      <c r="E120" s="15"/>
      <c r="F120" s="13"/>
      <c r="G120" s="15"/>
      <c r="H120" s="349">
        <v>482</v>
      </c>
      <c r="I120" s="12">
        <f t="shared" si="6"/>
        <v>154.24</v>
      </c>
      <c r="J120" s="12">
        <f t="shared" si="7"/>
        <v>327.76000000000005</v>
      </c>
      <c r="K120" s="12"/>
      <c r="L120" s="63">
        <f t="shared" si="8"/>
        <v>126280.32999999999</v>
      </c>
      <c r="M120" s="25"/>
    </row>
    <row r="121" spans="2:13" x14ac:dyDescent="0.2">
      <c r="B121" s="110">
        <v>43881</v>
      </c>
      <c r="C121" s="405" t="s">
        <v>755</v>
      </c>
      <c r="D121" s="11"/>
      <c r="E121" s="15"/>
      <c r="F121" s="13"/>
      <c r="G121" s="15"/>
      <c r="H121" s="349">
        <v>50</v>
      </c>
      <c r="I121" s="12">
        <f t="shared" si="6"/>
        <v>16</v>
      </c>
      <c r="J121" s="12">
        <f t="shared" si="7"/>
        <v>34</v>
      </c>
      <c r="K121" s="12"/>
      <c r="L121" s="63">
        <f t="shared" si="8"/>
        <v>126314.32999999999</v>
      </c>
      <c r="M121" s="25"/>
    </row>
    <row r="122" spans="2:13" x14ac:dyDescent="0.2">
      <c r="B122" s="110">
        <v>43882</v>
      </c>
      <c r="C122" s="405" t="s">
        <v>755</v>
      </c>
      <c r="D122" s="11"/>
      <c r="E122" s="15"/>
      <c r="F122" s="13"/>
      <c r="G122" s="15"/>
      <c r="H122" s="349">
        <v>716</v>
      </c>
      <c r="I122" s="12">
        <f t="shared" si="6"/>
        <v>229.12</v>
      </c>
      <c r="J122" s="12">
        <f t="shared" si="7"/>
        <v>486.88000000000005</v>
      </c>
      <c r="K122" s="12"/>
      <c r="L122" s="63">
        <f t="shared" si="8"/>
        <v>126801.20999999999</v>
      </c>
      <c r="M122" s="25"/>
    </row>
    <row r="123" spans="2:13" x14ac:dyDescent="0.2">
      <c r="B123" s="110">
        <v>43883</v>
      </c>
      <c r="C123" s="405" t="s">
        <v>755</v>
      </c>
      <c r="D123" s="11"/>
      <c r="E123" s="15"/>
      <c r="F123" s="13"/>
      <c r="G123" s="15"/>
      <c r="H123" s="349">
        <v>308</v>
      </c>
      <c r="I123" s="12">
        <f t="shared" si="6"/>
        <v>98.56</v>
      </c>
      <c r="J123" s="12">
        <f t="shared" si="7"/>
        <v>209.44000000000003</v>
      </c>
      <c r="K123" s="12"/>
      <c r="L123" s="63">
        <f t="shared" si="8"/>
        <v>127010.65</v>
      </c>
      <c r="M123" s="25"/>
    </row>
    <row r="124" spans="2:13" x14ac:dyDescent="0.2">
      <c r="B124" s="110">
        <v>43885</v>
      </c>
      <c r="C124" s="405" t="s">
        <v>755</v>
      </c>
      <c r="D124" s="11"/>
      <c r="E124" s="15"/>
      <c r="F124" s="13"/>
      <c r="G124" s="15"/>
      <c r="H124" s="349">
        <v>144</v>
      </c>
      <c r="I124" s="12">
        <f t="shared" si="6"/>
        <v>46.08</v>
      </c>
      <c r="J124" s="12">
        <f t="shared" si="7"/>
        <v>97.92</v>
      </c>
      <c r="K124" s="12"/>
      <c r="L124" s="63">
        <f t="shared" si="8"/>
        <v>127108.56999999999</v>
      </c>
      <c r="M124" s="25"/>
    </row>
    <row r="125" spans="2:13" x14ac:dyDescent="0.2">
      <c r="B125" s="110">
        <v>43886</v>
      </c>
      <c r="C125" s="405" t="s">
        <v>755</v>
      </c>
      <c r="D125" s="11"/>
      <c r="E125" s="15"/>
      <c r="F125" s="13"/>
      <c r="G125" s="15"/>
      <c r="H125" s="349">
        <v>0</v>
      </c>
      <c r="I125" s="12">
        <f t="shared" si="6"/>
        <v>0</v>
      </c>
      <c r="J125" s="12">
        <f t="shared" si="7"/>
        <v>0</v>
      </c>
      <c r="K125" s="12"/>
      <c r="L125" s="63">
        <f t="shared" si="8"/>
        <v>127108.56999999999</v>
      </c>
      <c r="M125" s="25"/>
    </row>
    <row r="126" spans="2:13" x14ac:dyDescent="0.2">
      <c r="B126" s="110">
        <v>43887</v>
      </c>
      <c r="C126" s="405" t="s">
        <v>755</v>
      </c>
      <c r="D126" s="11"/>
      <c r="E126" s="15"/>
      <c r="F126" s="13"/>
      <c r="G126" s="15"/>
      <c r="H126" s="349">
        <v>20</v>
      </c>
      <c r="I126" s="12">
        <f t="shared" si="6"/>
        <v>6.4</v>
      </c>
      <c r="J126" s="12">
        <f t="shared" si="7"/>
        <v>13.600000000000001</v>
      </c>
      <c r="K126" s="12"/>
      <c r="L126" s="63">
        <f t="shared" si="8"/>
        <v>127122.17</v>
      </c>
      <c r="M126" s="25"/>
    </row>
    <row r="127" spans="2:13" x14ac:dyDescent="0.2">
      <c r="B127" s="110">
        <v>43888</v>
      </c>
      <c r="C127" s="405" t="s">
        <v>755</v>
      </c>
      <c r="D127" s="11"/>
      <c r="E127" s="15"/>
      <c r="F127" s="13"/>
      <c r="G127" s="15"/>
      <c r="H127" s="349">
        <v>0</v>
      </c>
      <c r="I127" s="12">
        <f t="shared" ref="I127:I131" si="10">H127*0.32</f>
        <v>0</v>
      </c>
      <c r="J127" s="12">
        <f t="shared" ref="J127:J131" si="11">H127*0.68</f>
        <v>0</v>
      </c>
      <c r="K127" s="12"/>
      <c r="L127" s="63">
        <f t="shared" si="8"/>
        <v>127122.17</v>
      </c>
      <c r="M127" s="25"/>
    </row>
    <row r="128" spans="2:13" x14ac:dyDescent="0.2">
      <c r="B128" s="110">
        <v>43889</v>
      </c>
      <c r="C128" s="405" t="s">
        <v>755</v>
      </c>
      <c r="D128" s="11"/>
      <c r="E128" s="15"/>
      <c r="F128" s="13"/>
      <c r="G128" s="15"/>
      <c r="H128" s="112">
        <v>572</v>
      </c>
      <c r="I128" s="12">
        <f t="shared" si="10"/>
        <v>183.04</v>
      </c>
      <c r="J128" s="12">
        <f t="shared" si="11"/>
        <v>388.96000000000004</v>
      </c>
      <c r="K128" s="12"/>
      <c r="L128" s="63">
        <f t="shared" si="8"/>
        <v>127511.13</v>
      </c>
      <c r="M128" s="25"/>
    </row>
    <row r="129" spans="2:13" x14ac:dyDescent="0.2">
      <c r="B129" s="427">
        <v>43881</v>
      </c>
      <c r="C129" s="428" t="s">
        <v>788</v>
      </c>
      <c r="D129" s="431"/>
      <c r="E129" s="432"/>
      <c r="F129" s="432"/>
      <c r="G129" s="433"/>
      <c r="H129" s="429">
        <v>616</v>
      </c>
      <c r="I129" s="430">
        <f t="shared" si="10"/>
        <v>197.12</v>
      </c>
      <c r="J129" s="430">
        <f t="shared" si="11"/>
        <v>418.88000000000005</v>
      </c>
      <c r="K129" s="12"/>
      <c r="L129" s="63">
        <f t="shared" si="8"/>
        <v>127930.01000000001</v>
      </c>
      <c r="M129" s="25"/>
    </row>
    <row r="130" spans="2:13" x14ac:dyDescent="0.2">
      <c r="B130" s="110"/>
      <c r="C130" s="405"/>
      <c r="D130" s="11"/>
      <c r="E130" s="15"/>
      <c r="F130" s="13"/>
      <c r="G130" s="15"/>
      <c r="H130" s="349"/>
      <c r="I130" s="430"/>
      <c r="J130" s="430"/>
      <c r="K130" s="12"/>
      <c r="L130" s="63">
        <f t="shared" si="8"/>
        <v>127930.01000000001</v>
      </c>
      <c r="M130" s="25"/>
    </row>
    <row r="131" spans="2:13" x14ac:dyDescent="0.2">
      <c r="B131" s="110">
        <v>43886</v>
      </c>
      <c r="C131" s="353" t="s">
        <v>847</v>
      </c>
      <c r="D131" s="65" t="s">
        <v>35</v>
      </c>
      <c r="E131" s="15"/>
      <c r="F131" s="13"/>
      <c r="G131" s="15"/>
      <c r="H131" s="112">
        <v>144</v>
      </c>
      <c r="I131" s="430">
        <f t="shared" si="10"/>
        <v>46.08</v>
      </c>
      <c r="J131" s="430">
        <f t="shared" si="11"/>
        <v>97.92</v>
      </c>
      <c r="K131" s="12"/>
      <c r="L131" s="63">
        <f t="shared" si="8"/>
        <v>128027.93000000001</v>
      </c>
      <c r="M131" s="25"/>
    </row>
    <row r="132" spans="2:13" x14ac:dyDescent="0.2">
      <c r="B132" s="427"/>
      <c r="C132" s="428"/>
      <c r="D132" s="431"/>
      <c r="E132" s="432"/>
      <c r="F132" s="432"/>
      <c r="G132" s="433"/>
      <c r="H132" s="429"/>
      <c r="I132" s="430"/>
      <c r="J132" s="430"/>
      <c r="K132" s="430"/>
      <c r="L132" s="63">
        <f t="shared" si="8"/>
        <v>128027.93000000001</v>
      </c>
      <c r="M132" s="25"/>
    </row>
    <row r="133" spans="2:13" x14ac:dyDescent="0.2">
      <c r="B133" s="606" t="s">
        <v>88</v>
      </c>
      <c r="C133" s="607"/>
      <c r="D133" s="607"/>
      <c r="E133" s="607"/>
      <c r="F133" s="607"/>
      <c r="G133" s="607"/>
      <c r="H133" s="607"/>
      <c r="I133" s="607"/>
      <c r="J133" s="607"/>
      <c r="K133" s="608"/>
      <c r="L133" s="63">
        <f t="shared" ref="L133:L135" si="12">+J133-K133+L132</f>
        <v>128027.93000000001</v>
      </c>
      <c r="M133" s="25"/>
    </row>
    <row r="134" spans="2:13" x14ac:dyDescent="0.2">
      <c r="B134" s="552" t="s">
        <v>56</v>
      </c>
      <c r="C134" s="553"/>
      <c r="D134" s="554" t="s">
        <v>51</v>
      </c>
      <c r="E134" s="554"/>
      <c r="F134" s="554"/>
      <c r="G134" s="94"/>
      <c r="H134" s="95"/>
      <c r="I134" s="96"/>
      <c r="J134" s="96"/>
      <c r="K134" s="97"/>
      <c r="L134" s="63">
        <f t="shared" si="12"/>
        <v>128027.93000000001</v>
      </c>
      <c r="M134" s="25"/>
    </row>
    <row r="135" spans="2:13" x14ac:dyDescent="0.2">
      <c r="B135" s="91" t="s">
        <v>1</v>
      </c>
      <c r="C135" s="92" t="s">
        <v>57</v>
      </c>
      <c r="D135" s="92" t="s">
        <v>2</v>
      </c>
      <c r="E135" s="93" t="s">
        <v>3</v>
      </c>
      <c r="F135" s="93" t="s">
        <v>4</v>
      </c>
      <c r="G135" s="561" t="s">
        <v>58</v>
      </c>
      <c r="H135" s="562"/>
      <c r="I135" s="562"/>
      <c r="J135" s="563"/>
      <c r="K135" s="90"/>
      <c r="L135" s="63">
        <f t="shared" si="12"/>
        <v>128027.93000000001</v>
      </c>
      <c r="M135" s="25"/>
    </row>
    <row r="136" spans="2:13" ht="42.75" customHeight="1" x14ac:dyDescent="0.2">
      <c r="B136" s="350">
        <v>43886</v>
      </c>
      <c r="C136" s="349" t="s">
        <v>692</v>
      </c>
      <c r="D136" s="349"/>
      <c r="E136" s="3"/>
      <c r="F136" s="16"/>
      <c r="G136" s="565" t="s">
        <v>731</v>
      </c>
      <c r="H136" s="566"/>
      <c r="I136" s="566"/>
      <c r="J136" s="567"/>
      <c r="K136" s="70">
        <v>1700</v>
      </c>
      <c r="L136" s="63">
        <f t="shared" si="8"/>
        <v>126327.93000000001</v>
      </c>
      <c r="M136" s="25"/>
    </row>
    <row r="137" spans="2:13" ht="24" customHeight="1" x14ac:dyDescent="0.2">
      <c r="B137" s="10"/>
      <c r="C137" s="77"/>
      <c r="D137" s="77"/>
      <c r="E137" s="3"/>
      <c r="F137" s="16"/>
      <c r="G137" s="565" t="s">
        <v>732</v>
      </c>
      <c r="H137" s="566"/>
      <c r="I137" s="566"/>
      <c r="J137" s="567"/>
      <c r="K137" s="349">
        <v>1000</v>
      </c>
      <c r="L137" s="63">
        <f t="shared" si="8"/>
        <v>125327.93000000001</v>
      </c>
      <c r="M137" s="25"/>
    </row>
    <row r="138" spans="2:13" ht="43.5" customHeight="1" x14ac:dyDescent="0.2">
      <c r="B138" s="64"/>
      <c r="C138" s="78"/>
      <c r="D138" s="78"/>
      <c r="E138" s="3"/>
      <c r="F138" s="16"/>
      <c r="G138" s="565" t="s">
        <v>733</v>
      </c>
      <c r="H138" s="566"/>
      <c r="I138" s="566"/>
      <c r="J138" s="567"/>
      <c r="K138" s="12">
        <v>975</v>
      </c>
      <c r="L138" s="63">
        <f t="shared" si="8"/>
        <v>124352.93000000001</v>
      </c>
      <c r="M138" s="25"/>
    </row>
    <row r="139" spans="2:13" ht="50.25" customHeight="1" x14ac:dyDescent="0.2">
      <c r="B139" s="64"/>
      <c r="C139" s="78"/>
      <c r="D139" s="78"/>
      <c r="E139" s="3"/>
      <c r="F139" s="16"/>
      <c r="G139" s="565" t="s">
        <v>734</v>
      </c>
      <c r="H139" s="566"/>
      <c r="I139" s="566"/>
      <c r="J139" s="567"/>
      <c r="K139" s="12">
        <v>975</v>
      </c>
      <c r="L139" s="63">
        <f t="shared" si="8"/>
        <v>123377.93000000001</v>
      </c>
      <c r="M139" s="25"/>
    </row>
    <row r="140" spans="2:13" ht="47.25" customHeight="1" x14ac:dyDescent="0.2">
      <c r="B140" s="64">
        <v>43887</v>
      </c>
      <c r="C140" s="78" t="s">
        <v>735</v>
      </c>
      <c r="D140" s="78"/>
      <c r="E140" s="3"/>
      <c r="F140" s="16"/>
      <c r="G140" s="565" t="s">
        <v>736</v>
      </c>
      <c r="H140" s="566"/>
      <c r="I140" s="566"/>
      <c r="J140" s="567"/>
      <c r="K140" s="12">
        <v>1040</v>
      </c>
      <c r="L140" s="63">
        <f t="shared" si="8"/>
        <v>122337.93000000001</v>
      </c>
      <c r="M140" s="25"/>
    </row>
    <row r="141" spans="2:13" ht="44.25" customHeight="1" x14ac:dyDescent="0.2">
      <c r="B141" s="64"/>
      <c r="C141" s="78"/>
      <c r="D141" s="78"/>
      <c r="E141" s="3"/>
      <c r="F141" s="16"/>
      <c r="G141" s="565" t="s">
        <v>737</v>
      </c>
      <c r="H141" s="566"/>
      <c r="I141" s="566"/>
      <c r="J141" s="567"/>
      <c r="K141" s="12">
        <v>1040</v>
      </c>
      <c r="L141" s="63">
        <f t="shared" si="8"/>
        <v>121297.93000000001</v>
      </c>
      <c r="M141" s="25"/>
    </row>
    <row r="142" spans="2:13" ht="45" customHeight="1" x14ac:dyDescent="0.2">
      <c r="B142" s="64"/>
      <c r="C142" s="78"/>
      <c r="D142" s="78"/>
      <c r="E142" s="3"/>
      <c r="F142" s="16"/>
      <c r="G142" s="565" t="s">
        <v>738</v>
      </c>
      <c r="H142" s="566"/>
      <c r="I142" s="566"/>
      <c r="J142" s="567"/>
      <c r="K142" s="12">
        <v>1040</v>
      </c>
      <c r="L142" s="63">
        <f t="shared" si="8"/>
        <v>120257.93000000001</v>
      </c>
      <c r="M142" s="25"/>
    </row>
    <row r="143" spans="2:13" ht="42.75" customHeight="1" x14ac:dyDescent="0.2">
      <c r="B143" s="64"/>
      <c r="C143" s="77"/>
      <c r="D143" s="78"/>
      <c r="E143" s="3"/>
      <c r="F143" s="16"/>
      <c r="G143" s="565" t="s">
        <v>739</v>
      </c>
      <c r="H143" s="566"/>
      <c r="I143" s="566"/>
      <c r="J143" s="567"/>
      <c r="K143" s="12">
        <v>1040</v>
      </c>
      <c r="L143" s="63">
        <f t="shared" si="8"/>
        <v>119217.93000000001</v>
      </c>
      <c r="M143" s="25"/>
    </row>
    <row r="144" spans="2:13" ht="49.5" customHeight="1" x14ac:dyDescent="0.2">
      <c r="B144" s="419">
        <v>43991</v>
      </c>
      <c r="C144" s="418" t="s">
        <v>769</v>
      </c>
      <c r="D144" s="78"/>
      <c r="E144" s="3"/>
      <c r="F144" s="16"/>
      <c r="G144" s="612" t="s">
        <v>770</v>
      </c>
      <c r="H144" s="613"/>
      <c r="I144" s="613"/>
      <c r="J144" s="614"/>
      <c r="K144" s="12"/>
      <c r="L144" s="63">
        <f t="shared" si="8"/>
        <v>119217.93000000001</v>
      </c>
      <c r="M144" s="25"/>
    </row>
    <row r="145" spans="2:13" ht="17.25" customHeight="1" x14ac:dyDescent="0.2">
      <c r="B145" s="64"/>
      <c r="C145" s="78"/>
      <c r="D145" s="78"/>
      <c r="E145" s="3"/>
      <c r="F145" s="16"/>
      <c r="G145" s="349"/>
      <c r="H145" s="349"/>
      <c r="I145" s="418" t="s">
        <v>771</v>
      </c>
      <c r="J145" s="420"/>
      <c r="K145" s="420">
        <v>4250</v>
      </c>
      <c r="L145" s="63">
        <f t="shared" si="8"/>
        <v>114967.93000000001</v>
      </c>
      <c r="M145" s="25"/>
    </row>
    <row r="146" spans="2:13" x14ac:dyDescent="0.2">
      <c r="B146" s="64"/>
      <c r="C146" s="65"/>
      <c r="D146" s="65"/>
      <c r="E146" s="13"/>
      <c r="F146" s="68"/>
      <c r="G146" s="81"/>
      <c r="H146" s="82"/>
      <c r="I146" s="420" t="s">
        <v>772</v>
      </c>
      <c r="J146" s="420"/>
      <c r="K146" s="420">
        <v>4250</v>
      </c>
      <c r="L146" s="63">
        <f t="shared" si="8"/>
        <v>110717.93000000001</v>
      </c>
      <c r="M146" s="25"/>
    </row>
    <row r="147" spans="2:13" x14ac:dyDescent="0.2">
      <c r="B147" s="64"/>
      <c r="C147" s="65"/>
      <c r="D147" s="65"/>
      <c r="E147" s="13"/>
      <c r="F147" s="68"/>
      <c r="G147" s="81"/>
      <c r="H147" s="82"/>
      <c r="I147" s="12"/>
      <c r="J147" s="12"/>
      <c r="K147" s="12"/>
      <c r="L147" s="63">
        <f t="shared" si="8"/>
        <v>110717.93000000001</v>
      </c>
      <c r="M147" s="25"/>
    </row>
    <row r="148" spans="2:13" x14ac:dyDescent="0.2">
      <c r="B148" s="64"/>
      <c r="C148" s="65"/>
      <c r="D148" s="65"/>
      <c r="E148" s="13"/>
      <c r="F148" s="13"/>
      <c r="G148" s="81"/>
      <c r="H148" s="82"/>
      <c r="I148" s="12"/>
      <c r="J148" s="12"/>
      <c r="K148" s="12"/>
      <c r="L148" s="63">
        <f t="shared" si="8"/>
        <v>110717.93000000001</v>
      </c>
      <c r="M148" s="25"/>
    </row>
    <row r="149" spans="2:13" x14ac:dyDescent="0.2">
      <c r="B149" s="64"/>
      <c r="C149" s="65"/>
      <c r="D149" s="65"/>
      <c r="E149" s="13"/>
      <c r="F149" s="13"/>
      <c r="G149" s="69"/>
      <c r="H149" s="82"/>
      <c r="I149" s="12"/>
      <c r="J149" s="12"/>
      <c r="K149" s="12"/>
      <c r="L149" s="63">
        <f t="shared" si="8"/>
        <v>110717.93000000001</v>
      </c>
      <c r="M149" s="25"/>
    </row>
    <row r="150" spans="2:13" x14ac:dyDescent="0.2">
      <c r="B150" s="64"/>
      <c r="C150" s="65"/>
      <c r="D150" s="65"/>
      <c r="E150" s="13"/>
      <c r="F150" s="13"/>
      <c r="G150" s="81"/>
      <c r="H150" s="62"/>
      <c r="I150" s="12"/>
      <c r="J150" s="12"/>
      <c r="K150" s="12"/>
      <c r="L150" s="63">
        <f t="shared" si="8"/>
        <v>110717.93000000001</v>
      </c>
      <c r="M150" s="25"/>
    </row>
    <row r="151" spans="2:13" x14ac:dyDescent="0.2">
      <c r="B151" s="64"/>
      <c r="C151" s="65"/>
      <c r="D151" s="65"/>
      <c r="E151" s="3"/>
      <c r="F151" s="13"/>
      <c r="G151" s="81"/>
      <c r="H151" s="62"/>
      <c r="I151" s="12"/>
      <c r="J151" s="12"/>
      <c r="K151" s="12"/>
      <c r="L151" s="63">
        <f t="shared" si="8"/>
        <v>110717.93000000001</v>
      </c>
      <c r="M151" s="25"/>
    </row>
    <row r="152" spans="2:13" ht="12.75" thickBot="1" x14ac:dyDescent="0.25">
      <c r="B152" s="64"/>
      <c r="C152" s="65"/>
      <c r="D152" s="65"/>
      <c r="E152" s="13"/>
      <c r="F152" s="13"/>
      <c r="G152" s="104"/>
      <c r="H152" s="84"/>
      <c r="I152" s="12"/>
      <c r="J152" s="12"/>
      <c r="K152" s="12"/>
      <c r="L152" s="63"/>
      <c r="M152" s="25"/>
    </row>
    <row r="153" spans="2:13" x14ac:dyDescent="0.2">
      <c r="B153" s="56"/>
      <c r="C153" s="57"/>
      <c r="D153" s="57"/>
      <c r="E153" s="5"/>
      <c r="F153" s="5"/>
      <c r="G153" s="85" t="s">
        <v>14</v>
      </c>
      <c r="H153" s="107">
        <f>SUM(H82:H131)</f>
        <v>14932</v>
      </c>
      <c r="I153" s="105">
        <f>SUM(I82:I131)</f>
        <v>4778.24</v>
      </c>
      <c r="J153" s="106">
        <f>SUM(J82:J131)</f>
        <v>10153.759999999998</v>
      </c>
      <c r="K153" s="106">
        <f>SUM(K136:K151)</f>
        <v>17310</v>
      </c>
      <c r="L153" s="108"/>
      <c r="M153" s="25"/>
    </row>
    <row r="154" spans="2:13" ht="12.75" thickBot="1" x14ac:dyDescent="0.25">
      <c r="B154" s="71"/>
      <c r="C154" s="72"/>
      <c r="D154" s="72"/>
      <c r="E154" s="73"/>
      <c r="F154" s="73"/>
      <c r="G154" s="86" t="s">
        <v>13</v>
      </c>
      <c r="H154" s="100"/>
      <c r="I154" s="99"/>
      <c r="J154" s="87"/>
      <c r="K154" s="87"/>
      <c r="L154" s="88">
        <f>+J153-K153+L81</f>
        <v>110717.93000000002</v>
      </c>
      <c r="M154" s="25"/>
    </row>
    <row r="155" spans="2:13" x14ac:dyDescent="0.2">
      <c r="B155" s="25"/>
      <c r="H155" s="74"/>
      <c r="I155" s="25"/>
      <c r="L155" s="25"/>
      <c r="M155" s="25"/>
    </row>
    <row r="156" spans="2:13" ht="12" customHeight="1" x14ac:dyDescent="0.2">
      <c r="B156" s="544" t="s">
        <v>48</v>
      </c>
      <c r="C156" s="545"/>
      <c r="D156" s="545"/>
      <c r="E156" s="545"/>
      <c r="F156" s="545"/>
      <c r="G156" s="545"/>
      <c r="H156" s="545"/>
      <c r="I156" s="545"/>
      <c r="J156" s="545"/>
      <c r="K156" s="545"/>
      <c r="L156" s="546"/>
      <c r="M156" s="25"/>
    </row>
    <row r="157" spans="2:13" x14ac:dyDescent="0.2">
      <c r="B157" s="547" t="s">
        <v>538</v>
      </c>
      <c r="C157" s="548"/>
      <c r="D157" s="548"/>
      <c r="E157" s="548"/>
      <c r="F157" s="548"/>
      <c r="G157" s="548"/>
      <c r="H157" s="548"/>
      <c r="I157" s="548"/>
      <c r="J157" s="548"/>
      <c r="K157" s="548"/>
      <c r="L157" s="549"/>
      <c r="M157" s="25"/>
    </row>
    <row r="158" spans="2:13" x14ac:dyDescent="0.2">
      <c r="B158" s="550" t="s">
        <v>50</v>
      </c>
      <c r="C158" s="550"/>
      <c r="D158" s="551" t="s">
        <v>51</v>
      </c>
      <c r="E158" s="551"/>
      <c r="F158" s="551"/>
      <c r="G158" s="79"/>
      <c r="H158" s="79"/>
      <c r="I158" s="79"/>
      <c r="J158" s="79"/>
      <c r="K158" s="79"/>
      <c r="L158" s="80"/>
      <c r="M158" s="25"/>
    </row>
    <row r="159" spans="2:13" ht="24" x14ac:dyDescent="0.2">
      <c r="B159" s="56" t="s">
        <v>1</v>
      </c>
      <c r="C159" s="57" t="s">
        <v>2</v>
      </c>
      <c r="D159" s="57" t="s">
        <v>2</v>
      </c>
      <c r="E159" s="5" t="s">
        <v>3</v>
      </c>
      <c r="F159" s="5" t="s">
        <v>4</v>
      </c>
      <c r="G159" s="89" t="s">
        <v>6</v>
      </c>
      <c r="H159" s="83" t="s">
        <v>7</v>
      </c>
      <c r="I159" s="83" t="s">
        <v>52</v>
      </c>
      <c r="J159" s="83" t="s">
        <v>53</v>
      </c>
      <c r="K159" s="5" t="s">
        <v>10</v>
      </c>
      <c r="L159" s="5" t="s">
        <v>11</v>
      </c>
      <c r="M159" s="25"/>
    </row>
    <row r="160" spans="2:13" x14ac:dyDescent="0.2">
      <c r="B160" s="58"/>
      <c r="C160" s="59"/>
      <c r="D160" s="59"/>
      <c r="E160" s="13"/>
      <c r="F160" s="13"/>
      <c r="G160" s="24"/>
      <c r="H160" s="60"/>
      <c r="I160" s="61"/>
      <c r="J160" s="61"/>
      <c r="K160" s="61"/>
      <c r="L160" s="60">
        <f>L154</f>
        <v>110717.93000000002</v>
      </c>
      <c r="M160" s="25"/>
    </row>
    <row r="161" spans="2:16" x14ac:dyDescent="0.2">
      <c r="B161" s="110">
        <v>43892</v>
      </c>
      <c r="C161" s="111"/>
      <c r="D161" s="11"/>
      <c r="E161" s="15"/>
      <c r="F161" s="15"/>
      <c r="G161" s="15" t="s">
        <v>537</v>
      </c>
      <c r="H161" s="112">
        <f xml:space="preserve"> 596 -144</f>
        <v>452</v>
      </c>
      <c r="I161" s="12">
        <f t="shared" ref="I161:I163" si="13">H161*0.32</f>
        <v>144.64000000000001</v>
      </c>
      <c r="J161" s="12">
        <f t="shared" ref="J161:J163" si="14">H161*0.68</f>
        <v>307.36</v>
      </c>
      <c r="K161" s="12"/>
      <c r="L161" s="63">
        <f>+J161-K161+L160</f>
        <v>111025.29000000002</v>
      </c>
      <c r="M161" s="25"/>
    </row>
    <row r="162" spans="2:16" x14ac:dyDescent="0.2">
      <c r="B162" s="110">
        <v>43893</v>
      </c>
      <c r="C162" s="111"/>
      <c r="D162" s="11"/>
      <c r="E162" s="15"/>
      <c r="F162" s="15"/>
      <c r="G162" s="15" t="s">
        <v>537</v>
      </c>
      <c r="H162" s="112">
        <v>1852</v>
      </c>
      <c r="I162" s="12">
        <f t="shared" si="13"/>
        <v>592.64</v>
      </c>
      <c r="J162" s="12">
        <f t="shared" si="14"/>
        <v>1259.3600000000001</v>
      </c>
      <c r="K162" s="12"/>
      <c r="L162" s="63">
        <f>+J162-K162+L161</f>
        <v>112284.65000000002</v>
      </c>
      <c r="M162" s="25"/>
    </row>
    <row r="163" spans="2:16" x14ac:dyDescent="0.2">
      <c r="B163" s="110">
        <v>43894</v>
      </c>
      <c r="C163" s="111"/>
      <c r="D163" s="11"/>
      <c r="E163" s="15"/>
      <c r="F163" s="15"/>
      <c r="G163" s="15" t="s">
        <v>537</v>
      </c>
      <c r="H163" s="112">
        <f>1414-302</f>
        <v>1112</v>
      </c>
      <c r="I163" s="12">
        <f t="shared" si="13"/>
        <v>355.84000000000003</v>
      </c>
      <c r="J163" s="12">
        <f t="shared" si="14"/>
        <v>756.16000000000008</v>
      </c>
      <c r="K163" s="12"/>
      <c r="L163" s="63">
        <f>+J163-K163+L162</f>
        <v>113040.81000000003</v>
      </c>
      <c r="M163" s="25"/>
      <c r="N163" s="26">
        <v>1112</v>
      </c>
      <c r="O163" s="396">
        <f>H163-N163</f>
        <v>0</v>
      </c>
    </row>
    <row r="164" spans="2:16" x14ac:dyDescent="0.2">
      <c r="B164" s="110">
        <v>43895</v>
      </c>
      <c r="C164" s="111"/>
      <c r="D164" s="11"/>
      <c r="E164" s="15"/>
      <c r="F164" s="15"/>
      <c r="G164" s="15" t="s">
        <v>537</v>
      </c>
      <c r="H164" s="112">
        <f>1430-462</f>
        <v>968</v>
      </c>
      <c r="I164" s="12">
        <f t="shared" ref="I164:I167" si="15">H164*0.32</f>
        <v>309.76</v>
      </c>
      <c r="J164" s="12">
        <f t="shared" ref="J164:J167" si="16">H164*0.68</f>
        <v>658.24</v>
      </c>
      <c r="K164" s="12"/>
      <c r="L164" s="63">
        <f>+J164-K164+L163</f>
        <v>113699.05000000003</v>
      </c>
      <c r="M164" s="25"/>
      <c r="N164" s="26">
        <v>968</v>
      </c>
      <c r="O164" s="396">
        <f>H164-N164</f>
        <v>0</v>
      </c>
    </row>
    <row r="165" spans="2:16" x14ac:dyDescent="0.2">
      <c r="B165" s="110">
        <v>43896</v>
      </c>
      <c r="C165" s="111"/>
      <c r="D165" s="11"/>
      <c r="E165" s="15"/>
      <c r="F165" s="15"/>
      <c r="G165" s="15" t="s">
        <v>537</v>
      </c>
      <c r="H165" s="112">
        <f>948-144</f>
        <v>804</v>
      </c>
      <c r="I165" s="12">
        <f t="shared" si="15"/>
        <v>257.28000000000003</v>
      </c>
      <c r="J165" s="12">
        <f t="shared" si="16"/>
        <v>546.72</v>
      </c>
      <c r="K165" s="12"/>
      <c r="L165" s="63">
        <f t="shared" ref="L165:L235" si="17">+J165-K165+L164</f>
        <v>114245.77000000003</v>
      </c>
      <c r="M165" s="25"/>
      <c r="N165" s="26">
        <v>804</v>
      </c>
    </row>
    <row r="166" spans="2:16" x14ac:dyDescent="0.2">
      <c r="B166" s="110">
        <v>43897</v>
      </c>
      <c r="C166" s="111"/>
      <c r="D166" s="11"/>
      <c r="E166" s="15"/>
      <c r="F166" s="15"/>
      <c r="G166" s="15" t="s">
        <v>537</v>
      </c>
      <c r="H166" s="112">
        <f>264-144</f>
        <v>120</v>
      </c>
      <c r="I166" s="12">
        <f t="shared" si="15"/>
        <v>38.4</v>
      </c>
      <c r="J166" s="12">
        <f t="shared" si="16"/>
        <v>81.600000000000009</v>
      </c>
      <c r="K166" s="12"/>
      <c r="L166" s="63">
        <f t="shared" si="17"/>
        <v>114327.37000000004</v>
      </c>
      <c r="M166" s="25"/>
      <c r="N166" s="26">
        <v>120</v>
      </c>
      <c r="P166" s="396">
        <f>H166-N166</f>
        <v>0</v>
      </c>
    </row>
    <row r="167" spans="2:16" x14ac:dyDescent="0.2">
      <c r="B167" s="110">
        <v>43899</v>
      </c>
      <c r="C167" s="111"/>
      <c r="D167" s="11"/>
      <c r="E167" s="15"/>
      <c r="F167" s="15"/>
      <c r="G167" s="15" t="s">
        <v>537</v>
      </c>
      <c r="H167" s="112">
        <f>1242-616</f>
        <v>626</v>
      </c>
      <c r="I167" s="12">
        <f t="shared" si="15"/>
        <v>200.32</v>
      </c>
      <c r="J167" s="12">
        <f t="shared" si="16"/>
        <v>425.68</v>
      </c>
      <c r="K167" s="12"/>
      <c r="L167" s="63">
        <f t="shared" si="17"/>
        <v>114753.05000000003</v>
      </c>
      <c r="M167" s="25"/>
      <c r="N167" s="26">
        <v>626</v>
      </c>
      <c r="P167" s="396">
        <f>H167-N167</f>
        <v>0</v>
      </c>
    </row>
    <row r="168" spans="2:16" x14ac:dyDescent="0.2">
      <c r="B168" s="110">
        <v>43900</v>
      </c>
      <c r="C168" s="111"/>
      <c r="D168" s="11"/>
      <c r="E168" s="15"/>
      <c r="F168" s="15"/>
      <c r="G168" s="15" t="s">
        <v>537</v>
      </c>
      <c r="H168" s="112">
        <v>144</v>
      </c>
      <c r="I168" s="12">
        <f t="shared" ref="I168:I202" si="18">H168*0.32</f>
        <v>46.08</v>
      </c>
      <c r="J168" s="12">
        <f t="shared" ref="J168:J202" si="19">H168*0.68</f>
        <v>97.92</v>
      </c>
      <c r="K168" s="12"/>
      <c r="L168" s="63">
        <f t="shared" si="17"/>
        <v>114850.97000000003</v>
      </c>
      <c r="M168" s="25"/>
    </row>
    <row r="169" spans="2:16" x14ac:dyDescent="0.2">
      <c r="B169" s="110">
        <v>43901</v>
      </c>
      <c r="C169" s="111"/>
      <c r="D169" s="11"/>
      <c r="E169" s="15"/>
      <c r="F169" s="15"/>
      <c r="G169" s="15" t="s">
        <v>537</v>
      </c>
      <c r="H169" s="112">
        <v>160</v>
      </c>
      <c r="I169" s="12">
        <f t="shared" si="18"/>
        <v>51.2</v>
      </c>
      <c r="J169" s="12">
        <f t="shared" si="19"/>
        <v>108.80000000000001</v>
      </c>
      <c r="K169" s="12"/>
      <c r="L169" s="63">
        <f t="shared" si="17"/>
        <v>114959.77000000003</v>
      </c>
      <c r="M169" s="25"/>
    </row>
    <row r="170" spans="2:16" x14ac:dyDescent="0.2">
      <c r="B170" s="110">
        <v>43902</v>
      </c>
      <c r="C170" s="111"/>
      <c r="D170" s="11"/>
      <c r="E170" s="15"/>
      <c r="F170" s="15"/>
      <c r="G170" s="15" t="s">
        <v>537</v>
      </c>
      <c r="H170" s="112">
        <v>740</v>
      </c>
      <c r="I170" s="12">
        <f t="shared" si="18"/>
        <v>236.8</v>
      </c>
      <c r="J170" s="12">
        <f t="shared" si="19"/>
        <v>503.20000000000005</v>
      </c>
      <c r="K170" s="12"/>
      <c r="L170" s="63">
        <f t="shared" si="17"/>
        <v>115462.97000000003</v>
      </c>
      <c r="M170" s="25"/>
    </row>
    <row r="171" spans="2:16" x14ac:dyDescent="0.2">
      <c r="B171" s="110"/>
      <c r="C171" s="111"/>
      <c r="D171" s="11"/>
      <c r="E171" s="15"/>
      <c r="F171" s="15"/>
      <c r="G171" s="15"/>
      <c r="H171" s="112"/>
      <c r="I171" s="12">
        <f t="shared" si="18"/>
        <v>0</v>
      </c>
      <c r="J171" s="12">
        <f t="shared" si="19"/>
        <v>0</v>
      </c>
      <c r="K171" s="12"/>
      <c r="L171" s="63">
        <f t="shared" si="17"/>
        <v>115462.97000000003</v>
      </c>
      <c r="M171" s="25"/>
    </row>
    <row r="172" spans="2:16" x14ac:dyDescent="0.2">
      <c r="B172" s="110"/>
      <c r="C172" s="111"/>
      <c r="D172" s="11"/>
      <c r="E172" s="15"/>
      <c r="F172" s="15"/>
      <c r="G172" s="15"/>
      <c r="H172" s="112"/>
      <c r="I172" s="12">
        <f t="shared" si="18"/>
        <v>0</v>
      </c>
      <c r="J172" s="12">
        <f t="shared" si="19"/>
        <v>0</v>
      </c>
      <c r="K172" s="12"/>
      <c r="L172" s="63">
        <f t="shared" si="17"/>
        <v>115462.97000000003</v>
      </c>
      <c r="M172" s="25"/>
    </row>
    <row r="173" spans="2:16" x14ac:dyDescent="0.2">
      <c r="B173" s="110"/>
      <c r="C173" s="111"/>
      <c r="D173" s="11"/>
      <c r="E173" s="15"/>
      <c r="F173" s="15"/>
      <c r="G173" s="15"/>
      <c r="H173" s="112"/>
      <c r="I173" s="12">
        <f t="shared" si="18"/>
        <v>0</v>
      </c>
      <c r="J173" s="12">
        <f t="shared" si="19"/>
        <v>0</v>
      </c>
      <c r="K173" s="12"/>
      <c r="L173" s="63">
        <f t="shared" si="17"/>
        <v>115462.97000000003</v>
      </c>
      <c r="M173" s="25"/>
    </row>
    <row r="174" spans="2:16" x14ac:dyDescent="0.2">
      <c r="B174" s="427">
        <v>43893</v>
      </c>
      <c r="C174" s="438" t="s">
        <v>790</v>
      </c>
      <c r="D174" s="439"/>
      <c r="E174" s="436"/>
      <c r="F174" s="436"/>
      <c r="G174" s="436"/>
      <c r="H174" s="437">
        <v>288</v>
      </c>
      <c r="I174" s="12">
        <f t="shared" si="18"/>
        <v>92.16</v>
      </c>
      <c r="J174" s="12">
        <f t="shared" si="19"/>
        <v>195.84</v>
      </c>
      <c r="K174" s="12"/>
      <c r="L174" s="63">
        <f t="shared" si="17"/>
        <v>115658.81000000003</v>
      </c>
      <c r="M174" s="25"/>
    </row>
    <row r="175" spans="2:16" x14ac:dyDescent="0.2">
      <c r="B175" s="427">
        <v>43894</v>
      </c>
      <c r="C175" s="438" t="s">
        <v>790</v>
      </c>
      <c r="D175" s="415"/>
      <c r="E175" s="432"/>
      <c r="F175" s="436"/>
      <c r="G175" s="436"/>
      <c r="H175" s="437">
        <v>308</v>
      </c>
      <c r="I175" s="12">
        <f t="shared" si="18"/>
        <v>98.56</v>
      </c>
      <c r="J175" s="12">
        <f t="shared" si="19"/>
        <v>209.44000000000003</v>
      </c>
      <c r="K175" s="12"/>
      <c r="L175" s="63">
        <f t="shared" si="17"/>
        <v>115868.25000000003</v>
      </c>
      <c r="M175" s="25"/>
    </row>
    <row r="176" spans="2:16" x14ac:dyDescent="0.2">
      <c r="B176" s="427">
        <v>43896</v>
      </c>
      <c r="C176" s="438" t="s">
        <v>790</v>
      </c>
      <c r="D176" s="431"/>
      <c r="E176" s="432"/>
      <c r="F176" s="436"/>
      <c r="G176" s="433"/>
      <c r="H176" s="437">
        <v>364</v>
      </c>
      <c r="I176" s="12">
        <f t="shared" si="18"/>
        <v>116.48</v>
      </c>
      <c r="J176" s="12">
        <f t="shared" si="19"/>
        <v>247.52</v>
      </c>
      <c r="K176" s="12"/>
      <c r="L176" s="63">
        <f t="shared" si="17"/>
        <v>116115.77000000003</v>
      </c>
      <c r="M176" s="25"/>
    </row>
    <row r="177" spans="2:13" x14ac:dyDescent="0.2">
      <c r="B177" s="427">
        <v>43899</v>
      </c>
      <c r="C177" s="438" t="s">
        <v>790</v>
      </c>
      <c r="D177" s="431"/>
      <c r="E177" s="432"/>
      <c r="F177" s="436"/>
      <c r="G177" s="433"/>
      <c r="H177" s="437">
        <v>144</v>
      </c>
      <c r="I177" s="12">
        <f t="shared" si="18"/>
        <v>46.08</v>
      </c>
      <c r="J177" s="12">
        <f t="shared" si="19"/>
        <v>97.92</v>
      </c>
      <c r="K177" s="12"/>
      <c r="L177" s="63">
        <f t="shared" si="17"/>
        <v>116213.69000000003</v>
      </c>
      <c r="M177" s="25"/>
    </row>
    <row r="178" spans="2:13" x14ac:dyDescent="0.2">
      <c r="B178" s="427">
        <v>43903</v>
      </c>
      <c r="C178" s="438" t="s">
        <v>790</v>
      </c>
      <c r="D178" s="431"/>
      <c r="E178" s="432"/>
      <c r="F178" s="436"/>
      <c r="G178" s="433"/>
      <c r="H178" s="437">
        <v>294</v>
      </c>
      <c r="I178" s="12">
        <f t="shared" si="18"/>
        <v>94.08</v>
      </c>
      <c r="J178" s="12">
        <f t="shared" si="19"/>
        <v>199.92000000000002</v>
      </c>
      <c r="K178" s="12"/>
      <c r="L178" s="63">
        <f t="shared" si="17"/>
        <v>116413.61000000003</v>
      </c>
      <c r="M178" s="25"/>
    </row>
    <row r="179" spans="2:13" x14ac:dyDescent="0.2">
      <c r="B179" s="110"/>
      <c r="C179" s="353"/>
      <c r="D179" s="65"/>
      <c r="E179" s="13"/>
      <c r="F179" s="15"/>
      <c r="G179" s="66"/>
      <c r="H179" s="112"/>
      <c r="I179" s="12">
        <f t="shared" si="18"/>
        <v>0</v>
      </c>
      <c r="J179" s="12">
        <f t="shared" si="19"/>
        <v>0</v>
      </c>
      <c r="K179" s="12"/>
      <c r="L179" s="63">
        <f t="shared" si="17"/>
        <v>116413.61000000003</v>
      </c>
      <c r="M179" s="25"/>
    </row>
    <row r="180" spans="2:13" x14ac:dyDescent="0.2">
      <c r="B180" s="110"/>
      <c r="C180" s="353"/>
      <c r="D180" s="65"/>
      <c r="E180" s="13"/>
      <c r="F180" s="15"/>
      <c r="G180" s="66"/>
      <c r="H180" s="112"/>
      <c r="I180" s="12">
        <f t="shared" si="18"/>
        <v>0</v>
      </c>
      <c r="J180" s="12">
        <f t="shared" si="19"/>
        <v>0</v>
      </c>
      <c r="K180" s="12"/>
      <c r="L180" s="63">
        <f t="shared" si="17"/>
        <v>116413.61000000003</v>
      </c>
      <c r="M180" s="25"/>
    </row>
    <row r="181" spans="2:13" x14ac:dyDescent="0.2">
      <c r="B181" s="442">
        <v>43895</v>
      </c>
      <c r="C181" s="443" t="s">
        <v>827</v>
      </c>
      <c r="D181" s="458" t="s">
        <v>829</v>
      </c>
      <c r="E181" s="445"/>
      <c r="F181" s="446"/>
      <c r="G181" s="452"/>
      <c r="H181" s="447">
        <v>308</v>
      </c>
      <c r="I181" s="12">
        <f t="shared" si="18"/>
        <v>98.56</v>
      </c>
      <c r="J181" s="12">
        <f t="shared" si="19"/>
        <v>209.44000000000003</v>
      </c>
      <c r="K181" s="12"/>
      <c r="L181" s="63">
        <f t="shared" si="17"/>
        <v>116623.05000000003</v>
      </c>
      <c r="M181" s="25"/>
    </row>
    <row r="182" spans="2:13" x14ac:dyDescent="0.2">
      <c r="B182" s="442">
        <v>43897</v>
      </c>
      <c r="C182" s="443" t="s">
        <v>827</v>
      </c>
      <c r="D182" s="458" t="s">
        <v>829</v>
      </c>
      <c r="E182" s="445"/>
      <c r="F182" s="446"/>
      <c r="G182" s="452"/>
      <c r="H182" s="447">
        <v>144</v>
      </c>
      <c r="I182" s="12">
        <f t="shared" si="18"/>
        <v>46.08</v>
      </c>
      <c r="J182" s="12">
        <f t="shared" si="19"/>
        <v>97.92</v>
      </c>
      <c r="K182" s="12"/>
      <c r="L182" s="63">
        <f t="shared" si="17"/>
        <v>116720.97000000003</v>
      </c>
      <c r="M182" s="25"/>
    </row>
    <row r="183" spans="2:13" x14ac:dyDescent="0.2">
      <c r="B183" s="110"/>
      <c r="C183" s="353"/>
      <c r="D183" s="65"/>
      <c r="E183" s="13"/>
      <c r="F183" s="15"/>
      <c r="G183" s="66"/>
      <c r="H183" s="112"/>
      <c r="I183" s="12">
        <f t="shared" si="18"/>
        <v>0</v>
      </c>
      <c r="J183" s="12">
        <f t="shared" si="19"/>
        <v>0</v>
      </c>
      <c r="K183" s="12"/>
      <c r="L183" s="63">
        <f t="shared" si="17"/>
        <v>116720.97000000003</v>
      </c>
      <c r="M183" s="25"/>
    </row>
    <row r="184" spans="2:13" x14ac:dyDescent="0.2">
      <c r="B184" s="110"/>
      <c r="C184" s="353"/>
      <c r="D184" s="65"/>
      <c r="E184" s="13"/>
      <c r="F184" s="15"/>
      <c r="G184" s="66"/>
      <c r="H184" s="112"/>
      <c r="I184" s="12">
        <f t="shared" si="18"/>
        <v>0</v>
      </c>
      <c r="J184" s="12">
        <f t="shared" si="19"/>
        <v>0</v>
      </c>
      <c r="K184" s="12"/>
      <c r="L184" s="63">
        <f t="shared" si="17"/>
        <v>116720.97000000003</v>
      </c>
      <c r="M184" s="25"/>
    </row>
    <row r="185" spans="2:13" x14ac:dyDescent="0.2">
      <c r="B185" s="110">
        <v>43896</v>
      </c>
      <c r="C185" s="353" t="s">
        <v>847</v>
      </c>
      <c r="D185" s="65" t="s">
        <v>35</v>
      </c>
      <c r="E185" s="13"/>
      <c r="F185" s="15"/>
      <c r="G185" s="66"/>
      <c r="H185" s="112">
        <v>144</v>
      </c>
      <c r="I185" s="12">
        <f t="shared" si="18"/>
        <v>46.08</v>
      </c>
      <c r="J185" s="12">
        <f t="shared" si="19"/>
        <v>97.92</v>
      </c>
      <c r="K185" s="12"/>
      <c r="L185" s="63">
        <f t="shared" si="17"/>
        <v>116818.89000000003</v>
      </c>
      <c r="M185" s="25"/>
    </row>
    <row r="186" spans="2:13" x14ac:dyDescent="0.2">
      <c r="B186" s="110"/>
      <c r="C186" s="353"/>
      <c r="D186" s="65"/>
      <c r="E186" s="13"/>
      <c r="F186" s="15"/>
      <c r="G186" s="66"/>
      <c r="H186" s="112"/>
      <c r="I186" s="12">
        <f t="shared" si="18"/>
        <v>0</v>
      </c>
      <c r="J186" s="12">
        <f t="shared" si="19"/>
        <v>0</v>
      </c>
      <c r="K186" s="12"/>
      <c r="L186" s="63">
        <f t="shared" si="17"/>
        <v>116818.89000000003</v>
      </c>
      <c r="M186" s="25"/>
    </row>
    <row r="187" spans="2:13" x14ac:dyDescent="0.2">
      <c r="B187" s="110"/>
      <c r="C187" s="353"/>
      <c r="D187" s="65"/>
      <c r="E187" s="13"/>
      <c r="F187" s="15"/>
      <c r="G187" s="66"/>
      <c r="H187" s="112"/>
      <c r="I187" s="12">
        <f t="shared" si="18"/>
        <v>0</v>
      </c>
      <c r="J187" s="12">
        <f t="shared" si="19"/>
        <v>0</v>
      </c>
      <c r="K187" s="12"/>
      <c r="L187" s="63">
        <f t="shared" si="17"/>
        <v>116818.89000000003</v>
      </c>
      <c r="M187" s="25"/>
    </row>
    <row r="188" spans="2:13" x14ac:dyDescent="0.2">
      <c r="B188" s="110">
        <v>43892</v>
      </c>
      <c r="C188" s="353" t="s">
        <v>858</v>
      </c>
      <c r="D188" s="65" t="s">
        <v>0</v>
      </c>
      <c r="E188" s="13"/>
      <c r="F188" s="15"/>
      <c r="G188" s="66"/>
      <c r="H188" s="112">
        <v>144</v>
      </c>
      <c r="I188" s="12">
        <f t="shared" si="18"/>
        <v>46.08</v>
      </c>
      <c r="J188" s="12">
        <f t="shared" si="19"/>
        <v>97.92</v>
      </c>
      <c r="K188" s="12"/>
      <c r="L188" s="63">
        <f t="shared" si="17"/>
        <v>116916.81000000003</v>
      </c>
      <c r="M188" s="25"/>
    </row>
    <row r="189" spans="2:13" x14ac:dyDescent="0.2">
      <c r="B189" s="110"/>
      <c r="C189" s="353"/>
      <c r="D189" s="65"/>
      <c r="E189" s="13"/>
      <c r="F189" s="15"/>
      <c r="G189" s="66"/>
      <c r="H189" s="112"/>
      <c r="I189" s="12">
        <f t="shared" si="18"/>
        <v>0</v>
      </c>
      <c r="J189" s="12">
        <f t="shared" si="19"/>
        <v>0</v>
      </c>
      <c r="K189" s="12"/>
      <c r="L189" s="63">
        <f t="shared" si="17"/>
        <v>116916.81000000003</v>
      </c>
      <c r="M189" s="25"/>
    </row>
    <row r="190" spans="2:13" x14ac:dyDescent="0.2">
      <c r="B190" s="110"/>
      <c r="C190" s="353"/>
      <c r="D190" s="65"/>
      <c r="E190" s="13"/>
      <c r="F190" s="15"/>
      <c r="G190" s="66"/>
      <c r="H190" s="112"/>
      <c r="I190" s="12">
        <f t="shared" si="18"/>
        <v>0</v>
      </c>
      <c r="J190" s="12">
        <f t="shared" si="19"/>
        <v>0</v>
      </c>
      <c r="K190" s="12"/>
      <c r="L190" s="63">
        <f t="shared" si="17"/>
        <v>116916.81000000003</v>
      </c>
      <c r="M190" s="25"/>
    </row>
    <row r="191" spans="2:13" x14ac:dyDescent="0.2">
      <c r="B191" s="110">
        <v>43903</v>
      </c>
      <c r="C191" s="353" t="s">
        <v>858</v>
      </c>
      <c r="D191" s="65" t="s">
        <v>14</v>
      </c>
      <c r="E191" s="13"/>
      <c r="F191" s="15"/>
      <c r="G191" s="66"/>
      <c r="H191" s="112">
        <v>144</v>
      </c>
      <c r="I191" s="12">
        <f t="shared" si="18"/>
        <v>46.08</v>
      </c>
      <c r="J191" s="12">
        <f t="shared" si="19"/>
        <v>97.92</v>
      </c>
      <c r="K191" s="12"/>
      <c r="L191" s="63">
        <f t="shared" si="17"/>
        <v>117014.73000000003</v>
      </c>
      <c r="M191" s="25"/>
    </row>
    <row r="192" spans="2:13" x14ac:dyDescent="0.2">
      <c r="B192" s="110"/>
      <c r="C192" s="353"/>
      <c r="D192" s="65"/>
      <c r="E192" s="13"/>
      <c r="F192" s="15"/>
      <c r="G192" s="66"/>
      <c r="H192" s="112"/>
      <c r="I192" s="12">
        <f t="shared" si="18"/>
        <v>0</v>
      </c>
      <c r="J192" s="12">
        <f t="shared" si="19"/>
        <v>0</v>
      </c>
      <c r="K192" s="12"/>
      <c r="L192" s="63">
        <f t="shared" si="17"/>
        <v>117014.73000000003</v>
      </c>
      <c r="M192" s="25"/>
    </row>
    <row r="193" spans="2:13" x14ac:dyDescent="0.2">
      <c r="B193" s="110"/>
      <c r="C193" s="353"/>
      <c r="D193" s="65"/>
      <c r="E193" s="13"/>
      <c r="F193" s="15"/>
      <c r="G193" s="66"/>
      <c r="H193" s="112"/>
      <c r="I193" s="12">
        <f t="shared" si="18"/>
        <v>0</v>
      </c>
      <c r="J193" s="12">
        <f t="shared" si="19"/>
        <v>0</v>
      </c>
      <c r="K193" s="12"/>
      <c r="L193" s="63">
        <f t="shared" si="17"/>
        <v>117014.73000000003</v>
      </c>
      <c r="M193" s="25"/>
    </row>
    <row r="194" spans="2:13" x14ac:dyDescent="0.2">
      <c r="B194" s="110"/>
      <c r="C194" s="353"/>
      <c r="D194" s="65"/>
      <c r="E194" s="13"/>
      <c r="F194" s="15"/>
      <c r="G194" s="66"/>
      <c r="H194" s="112"/>
      <c r="I194" s="12">
        <f t="shared" si="18"/>
        <v>0</v>
      </c>
      <c r="J194" s="12">
        <f t="shared" si="19"/>
        <v>0</v>
      </c>
      <c r="K194" s="12"/>
      <c r="L194" s="63">
        <f t="shared" si="17"/>
        <v>117014.73000000003</v>
      </c>
      <c r="M194" s="25"/>
    </row>
    <row r="195" spans="2:13" x14ac:dyDescent="0.2">
      <c r="B195" s="110"/>
      <c r="C195" s="353"/>
      <c r="D195" s="65"/>
      <c r="E195" s="13"/>
      <c r="F195" s="15"/>
      <c r="G195" s="66"/>
      <c r="H195" s="112"/>
      <c r="I195" s="12">
        <f t="shared" si="18"/>
        <v>0</v>
      </c>
      <c r="J195" s="12">
        <f t="shared" si="19"/>
        <v>0</v>
      </c>
      <c r="K195" s="12"/>
      <c r="L195" s="63">
        <f t="shared" si="17"/>
        <v>117014.73000000003</v>
      </c>
      <c r="M195" s="25"/>
    </row>
    <row r="196" spans="2:13" x14ac:dyDescent="0.2">
      <c r="B196" s="110"/>
      <c r="C196" s="353"/>
      <c r="D196" s="65"/>
      <c r="E196" s="13"/>
      <c r="F196" s="15"/>
      <c r="G196" s="66"/>
      <c r="H196" s="112"/>
      <c r="I196" s="12">
        <f t="shared" si="18"/>
        <v>0</v>
      </c>
      <c r="J196" s="12">
        <f t="shared" si="19"/>
        <v>0</v>
      </c>
      <c r="K196" s="12"/>
      <c r="L196" s="63">
        <f t="shared" si="17"/>
        <v>117014.73000000003</v>
      </c>
      <c r="M196" s="25"/>
    </row>
    <row r="197" spans="2:13" x14ac:dyDescent="0.2">
      <c r="B197" s="110"/>
      <c r="C197" s="353"/>
      <c r="D197" s="65"/>
      <c r="E197" s="13"/>
      <c r="F197" s="15"/>
      <c r="G197" s="66"/>
      <c r="H197" s="112"/>
      <c r="I197" s="12">
        <f t="shared" si="18"/>
        <v>0</v>
      </c>
      <c r="J197" s="12">
        <f t="shared" si="19"/>
        <v>0</v>
      </c>
      <c r="K197" s="12"/>
      <c r="L197" s="63">
        <f t="shared" si="17"/>
        <v>117014.73000000003</v>
      </c>
      <c r="M197" s="25"/>
    </row>
    <row r="198" spans="2:13" x14ac:dyDescent="0.2">
      <c r="B198" s="110"/>
      <c r="C198" s="353"/>
      <c r="D198" s="65"/>
      <c r="E198" s="13"/>
      <c r="F198" s="15"/>
      <c r="G198" s="66"/>
      <c r="H198" s="112"/>
      <c r="I198" s="12">
        <f t="shared" si="18"/>
        <v>0</v>
      </c>
      <c r="J198" s="12">
        <f t="shared" si="19"/>
        <v>0</v>
      </c>
      <c r="K198" s="12"/>
      <c r="L198" s="63">
        <f t="shared" si="17"/>
        <v>117014.73000000003</v>
      </c>
      <c r="M198" s="25"/>
    </row>
    <row r="199" spans="2:13" x14ac:dyDescent="0.2">
      <c r="B199" s="110"/>
      <c r="C199" s="353"/>
      <c r="D199" s="65"/>
      <c r="E199" s="13"/>
      <c r="F199" s="15"/>
      <c r="G199" s="66"/>
      <c r="H199" s="112"/>
      <c r="I199" s="12">
        <f t="shared" si="18"/>
        <v>0</v>
      </c>
      <c r="J199" s="12">
        <f t="shared" si="19"/>
        <v>0</v>
      </c>
      <c r="K199" s="12"/>
      <c r="L199" s="63">
        <f t="shared" si="17"/>
        <v>117014.73000000003</v>
      </c>
      <c r="M199" s="25"/>
    </row>
    <row r="200" spans="2:13" x14ac:dyDescent="0.2">
      <c r="B200" s="110"/>
      <c r="C200" s="353"/>
      <c r="D200" s="65"/>
      <c r="E200" s="13"/>
      <c r="F200" s="15"/>
      <c r="G200" s="66"/>
      <c r="H200" s="112"/>
      <c r="I200" s="12">
        <f t="shared" si="18"/>
        <v>0</v>
      </c>
      <c r="J200" s="12">
        <f t="shared" si="19"/>
        <v>0</v>
      </c>
      <c r="K200" s="12"/>
      <c r="L200" s="63">
        <f t="shared" si="17"/>
        <v>117014.73000000003</v>
      </c>
      <c r="M200" s="25"/>
    </row>
    <row r="201" spans="2:13" x14ac:dyDescent="0.2">
      <c r="B201" s="110"/>
      <c r="C201" s="353"/>
      <c r="D201" s="65"/>
      <c r="E201" s="13"/>
      <c r="F201" s="15"/>
      <c r="G201" s="66"/>
      <c r="H201" s="112"/>
      <c r="I201" s="12">
        <f t="shared" si="18"/>
        <v>0</v>
      </c>
      <c r="J201" s="12">
        <f t="shared" si="19"/>
        <v>0</v>
      </c>
      <c r="K201" s="12"/>
      <c r="L201" s="63">
        <f t="shared" si="17"/>
        <v>117014.73000000003</v>
      </c>
      <c r="M201" s="25"/>
    </row>
    <row r="202" spans="2:13" x14ac:dyDescent="0.2">
      <c r="B202" s="110"/>
      <c r="C202" s="353"/>
      <c r="D202" s="65"/>
      <c r="E202" s="13"/>
      <c r="F202" s="15"/>
      <c r="G202" s="66"/>
      <c r="H202" s="112"/>
      <c r="I202" s="12">
        <f t="shared" si="18"/>
        <v>0</v>
      </c>
      <c r="J202" s="12">
        <f t="shared" si="19"/>
        <v>0</v>
      </c>
      <c r="K202" s="12"/>
      <c r="L202" s="63">
        <f t="shared" si="17"/>
        <v>117014.73000000003</v>
      </c>
      <c r="M202" s="25"/>
    </row>
    <row r="203" spans="2:13" x14ac:dyDescent="0.2">
      <c r="B203" s="110"/>
      <c r="C203" s="353"/>
      <c r="D203" s="65"/>
      <c r="E203" s="13"/>
      <c r="F203" s="15"/>
      <c r="G203" s="66"/>
      <c r="H203" s="112"/>
      <c r="I203" s="12"/>
      <c r="J203" s="12"/>
      <c r="K203" s="12"/>
      <c r="L203" s="63">
        <f t="shared" si="17"/>
        <v>117014.73000000003</v>
      </c>
      <c r="M203" s="25"/>
    </row>
    <row r="204" spans="2:13" x14ac:dyDescent="0.2">
      <c r="B204" s="110"/>
      <c r="C204" s="65"/>
      <c r="D204" s="65"/>
      <c r="E204" s="13"/>
      <c r="F204" s="15"/>
      <c r="G204" s="66"/>
      <c r="H204" s="112"/>
      <c r="I204" s="12"/>
      <c r="J204" s="12"/>
      <c r="K204" s="12"/>
      <c r="L204" s="63">
        <f t="shared" si="17"/>
        <v>117014.73000000003</v>
      </c>
      <c r="M204" s="25"/>
    </row>
    <row r="205" spans="2:13" x14ac:dyDescent="0.2">
      <c r="B205" s="547" t="s">
        <v>192</v>
      </c>
      <c r="C205" s="548"/>
      <c r="D205" s="548"/>
      <c r="E205" s="548"/>
      <c r="F205" s="548"/>
      <c r="G205" s="548"/>
      <c r="H205" s="548"/>
      <c r="I205" s="548"/>
      <c r="J205" s="548"/>
      <c r="K205" s="549"/>
      <c r="L205" s="63">
        <f t="shared" si="17"/>
        <v>117014.73000000003</v>
      </c>
      <c r="M205" s="25"/>
    </row>
    <row r="206" spans="2:13" x14ac:dyDescent="0.2">
      <c r="B206" s="552" t="s">
        <v>56</v>
      </c>
      <c r="C206" s="553"/>
      <c r="D206" s="554" t="s">
        <v>51</v>
      </c>
      <c r="E206" s="554"/>
      <c r="F206" s="554"/>
      <c r="G206" s="94"/>
      <c r="H206" s="95"/>
      <c r="I206" s="96"/>
      <c r="J206" s="96"/>
      <c r="K206" s="97"/>
      <c r="L206" s="63">
        <f t="shared" si="17"/>
        <v>117014.73000000003</v>
      </c>
      <c r="M206" s="25"/>
    </row>
    <row r="207" spans="2:13" x14ac:dyDescent="0.2">
      <c r="B207" s="91" t="s">
        <v>1</v>
      </c>
      <c r="C207" s="92" t="s">
        <v>57</v>
      </c>
      <c r="D207" s="92" t="s">
        <v>2</v>
      </c>
      <c r="E207" s="93" t="s">
        <v>3</v>
      </c>
      <c r="F207" s="93" t="s">
        <v>4</v>
      </c>
      <c r="G207" s="561" t="s">
        <v>58</v>
      </c>
      <c r="H207" s="562"/>
      <c r="I207" s="562"/>
      <c r="J207" s="563"/>
      <c r="K207" s="90"/>
      <c r="L207" s="63">
        <f t="shared" si="17"/>
        <v>117014.73000000003</v>
      </c>
      <c r="M207" s="25"/>
    </row>
    <row r="208" spans="2:13" ht="48" customHeight="1" x14ac:dyDescent="0.2">
      <c r="B208" s="406">
        <v>43534</v>
      </c>
      <c r="C208" s="407" t="s">
        <v>741</v>
      </c>
      <c r="D208" s="407"/>
      <c r="E208" s="7"/>
      <c r="F208" s="19"/>
      <c r="G208" s="565" t="s">
        <v>742</v>
      </c>
      <c r="H208" s="566"/>
      <c r="I208" s="566"/>
      <c r="J208" s="567"/>
      <c r="K208" s="408">
        <v>600</v>
      </c>
      <c r="L208" s="63">
        <f t="shared" si="17"/>
        <v>116414.73000000003</v>
      </c>
      <c r="M208" s="25"/>
    </row>
    <row r="209" spans="2:13" ht="51.75" customHeight="1" x14ac:dyDescent="0.2">
      <c r="B209" s="406">
        <v>43534</v>
      </c>
      <c r="C209" s="407" t="s">
        <v>749</v>
      </c>
      <c r="D209" s="407"/>
      <c r="E209" s="7"/>
      <c r="F209" s="19"/>
      <c r="G209" s="565" t="s">
        <v>743</v>
      </c>
      <c r="H209" s="566"/>
      <c r="I209" s="566"/>
      <c r="J209" s="567"/>
      <c r="K209" s="408">
        <v>1040</v>
      </c>
      <c r="L209" s="63">
        <f t="shared" si="17"/>
        <v>115374.73000000003</v>
      </c>
      <c r="M209" s="25"/>
    </row>
    <row r="210" spans="2:13" ht="50.25" customHeight="1" x14ac:dyDescent="0.2">
      <c r="B210" s="406"/>
      <c r="C210" s="407"/>
      <c r="D210" s="407"/>
      <c r="E210" s="7"/>
      <c r="F210" s="19"/>
      <c r="G210" s="565" t="s">
        <v>744</v>
      </c>
      <c r="H210" s="566"/>
      <c r="I210" s="566"/>
      <c r="J210" s="567"/>
      <c r="K210" s="408">
        <v>1040</v>
      </c>
      <c r="L210" s="63">
        <f t="shared" si="17"/>
        <v>114334.73000000003</v>
      </c>
      <c r="M210" s="25"/>
    </row>
    <row r="211" spans="2:13" ht="48.75" customHeight="1" x14ac:dyDescent="0.2">
      <c r="B211" s="406"/>
      <c r="C211" s="407"/>
      <c r="D211" s="407"/>
      <c r="E211" s="7"/>
      <c r="F211" s="19"/>
      <c r="G211" s="565" t="s">
        <v>745</v>
      </c>
      <c r="H211" s="566"/>
      <c r="I211" s="566"/>
      <c r="J211" s="567"/>
      <c r="K211" s="408">
        <v>1040</v>
      </c>
      <c r="L211" s="63">
        <f t="shared" si="17"/>
        <v>113294.73000000003</v>
      </c>
      <c r="M211" s="25"/>
    </row>
    <row r="212" spans="2:13" ht="43.5" customHeight="1" x14ac:dyDescent="0.2">
      <c r="B212" s="406"/>
      <c r="C212" s="407"/>
      <c r="D212" s="407"/>
      <c r="E212" s="7"/>
      <c r="F212" s="19"/>
      <c r="G212" s="565" t="s">
        <v>746</v>
      </c>
      <c r="H212" s="566"/>
      <c r="I212" s="566"/>
      <c r="J212" s="567"/>
      <c r="K212" s="408">
        <v>1040</v>
      </c>
      <c r="L212" s="63">
        <f t="shared" si="17"/>
        <v>112254.73000000003</v>
      </c>
      <c r="M212" s="25"/>
    </row>
    <row r="213" spans="2:13" ht="48" customHeight="1" x14ac:dyDescent="0.2">
      <c r="B213" s="406"/>
      <c r="C213" s="407"/>
      <c r="D213" s="407"/>
      <c r="E213" s="7"/>
      <c r="F213" s="19"/>
      <c r="G213" s="565" t="s">
        <v>747</v>
      </c>
      <c r="H213" s="566"/>
      <c r="I213" s="566"/>
      <c r="J213" s="567"/>
      <c r="K213" s="408">
        <v>1040</v>
      </c>
      <c r="L213" s="63">
        <f t="shared" si="17"/>
        <v>111214.73000000003</v>
      </c>
      <c r="M213" s="25"/>
    </row>
    <row r="214" spans="2:13" ht="51" customHeight="1" x14ac:dyDescent="0.2">
      <c r="B214" s="406"/>
      <c r="C214" s="407"/>
      <c r="D214" s="407"/>
      <c r="E214" s="7"/>
      <c r="F214" s="19"/>
      <c r="G214" s="565" t="s">
        <v>748</v>
      </c>
      <c r="H214" s="566"/>
      <c r="I214" s="566"/>
      <c r="J214" s="567"/>
      <c r="K214" s="408">
        <v>1040</v>
      </c>
      <c r="L214" s="63">
        <f t="shared" si="17"/>
        <v>110174.73000000003</v>
      </c>
      <c r="M214" s="25"/>
    </row>
    <row r="215" spans="2:13" ht="48" customHeight="1" x14ac:dyDescent="0.2">
      <c r="B215" s="409">
        <v>43906</v>
      </c>
      <c r="C215" s="410" t="s">
        <v>750</v>
      </c>
      <c r="D215" s="411"/>
      <c r="E215" s="412"/>
      <c r="F215" s="413"/>
      <c r="G215" s="594" t="s">
        <v>751</v>
      </c>
      <c r="H215" s="595"/>
      <c r="I215" s="595"/>
      <c r="J215" s="596"/>
      <c r="K215" s="70">
        <v>1700</v>
      </c>
      <c r="L215" s="63">
        <f t="shared" si="17"/>
        <v>108474.73000000003</v>
      </c>
      <c r="M215" s="25"/>
    </row>
    <row r="216" spans="2:13" ht="48" customHeight="1" x14ac:dyDescent="0.2">
      <c r="B216" s="414"/>
      <c r="C216" s="415"/>
      <c r="D216" s="415"/>
      <c r="E216" s="412"/>
      <c r="F216" s="413"/>
      <c r="G216" s="594" t="s">
        <v>752</v>
      </c>
      <c r="H216" s="595"/>
      <c r="I216" s="595"/>
      <c r="J216" s="596"/>
      <c r="K216" s="70">
        <v>1000</v>
      </c>
      <c r="L216" s="63">
        <f t="shared" si="17"/>
        <v>107474.73000000003</v>
      </c>
      <c r="M216" s="25"/>
    </row>
    <row r="217" spans="2:13" ht="48" customHeight="1" x14ac:dyDescent="0.2">
      <c r="B217" s="409"/>
      <c r="C217" s="415"/>
      <c r="D217" s="416"/>
      <c r="E217" s="412"/>
      <c r="F217" s="413"/>
      <c r="G217" s="594" t="s">
        <v>753</v>
      </c>
      <c r="H217" s="595"/>
      <c r="I217" s="595"/>
      <c r="J217" s="596"/>
      <c r="K217" s="70">
        <v>975</v>
      </c>
      <c r="L217" s="63">
        <f t="shared" si="17"/>
        <v>106499.73000000003</v>
      </c>
      <c r="M217" s="25"/>
    </row>
    <row r="218" spans="2:13" ht="48" customHeight="1" x14ac:dyDescent="0.2">
      <c r="B218" s="409"/>
      <c r="C218" s="416"/>
      <c r="D218" s="416"/>
      <c r="E218" s="412"/>
      <c r="F218" s="413"/>
      <c r="G218" s="594" t="s">
        <v>754</v>
      </c>
      <c r="H218" s="595"/>
      <c r="I218" s="595"/>
      <c r="J218" s="596"/>
      <c r="K218" s="70">
        <v>975</v>
      </c>
      <c r="L218" s="63">
        <f t="shared" si="17"/>
        <v>105524.73000000003</v>
      </c>
      <c r="M218" s="25"/>
    </row>
    <row r="219" spans="2:13" x14ac:dyDescent="0.2">
      <c r="B219" s="64"/>
      <c r="C219" s="65"/>
      <c r="D219" s="65"/>
      <c r="E219" s="13"/>
      <c r="F219" s="68"/>
      <c r="G219" s="81"/>
      <c r="H219" s="568"/>
      <c r="I219" s="570"/>
      <c r="J219" s="12"/>
      <c r="K219" s="12"/>
      <c r="L219" s="63">
        <f t="shared" si="17"/>
        <v>105524.73000000003</v>
      </c>
      <c r="M219" s="25"/>
    </row>
    <row r="220" spans="2:13" x14ac:dyDescent="0.2">
      <c r="B220" s="64"/>
      <c r="C220" s="65"/>
      <c r="D220" s="65"/>
      <c r="E220" s="13"/>
      <c r="F220" s="68"/>
      <c r="G220" s="81"/>
      <c r="H220" s="568"/>
      <c r="I220" s="570"/>
      <c r="J220" s="12"/>
      <c r="K220" s="12"/>
      <c r="L220" s="63">
        <f t="shared" si="17"/>
        <v>105524.73000000003</v>
      </c>
      <c r="M220" s="25"/>
    </row>
    <row r="221" spans="2:13" x14ac:dyDescent="0.2">
      <c r="B221" s="64"/>
      <c r="C221" s="65"/>
      <c r="D221" s="65"/>
      <c r="E221" s="13"/>
      <c r="F221" s="68"/>
      <c r="G221" s="81"/>
      <c r="H221" s="568"/>
      <c r="I221" s="570"/>
      <c r="J221" s="12"/>
      <c r="K221" s="12"/>
      <c r="L221" s="63">
        <f t="shared" si="17"/>
        <v>105524.73000000003</v>
      </c>
      <c r="M221" s="25"/>
    </row>
    <row r="222" spans="2:13" x14ac:dyDescent="0.2">
      <c r="B222" s="64"/>
      <c r="C222" s="65"/>
      <c r="D222" s="65"/>
      <c r="E222" s="13"/>
      <c r="F222" s="68"/>
      <c r="G222" s="81"/>
      <c r="H222" s="568"/>
      <c r="I222" s="570"/>
      <c r="J222" s="12"/>
      <c r="K222" s="12"/>
      <c r="L222" s="63">
        <f t="shared" si="17"/>
        <v>105524.73000000003</v>
      </c>
      <c r="M222" s="25"/>
    </row>
    <row r="223" spans="2:13" x14ac:dyDescent="0.2">
      <c r="B223" s="64"/>
      <c r="C223" s="65"/>
      <c r="D223" s="65"/>
      <c r="E223" s="13"/>
      <c r="F223" s="68"/>
      <c r="G223" s="81"/>
      <c r="H223" s="568"/>
      <c r="I223" s="570"/>
      <c r="J223" s="12"/>
      <c r="K223" s="12"/>
      <c r="L223" s="63">
        <f t="shared" si="17"/>
        <v>105524.73000000003</v>
      </c>
      <c r="M223" s="25"/>
    </row>
    <row r="224" spans="2:13" x14ac:dyDescent="0.2">
      <c r="B224" s="64"/>
      <c r="C224" s="65"/>
      <c r="D224" s="65"/>
      <c r="E224" s="13"/>
      <c r="F224" s="68"/>
      <c r="G224" s="81"/>
      <c r="H224" s="568"/>
      <c r="I224" s="570"/>
      <c r="J224" s="12"/>
      <c r="K224" s="12"/>
      <c r="L224" s="63">
        <f t="shared" si="17"/>
        <v>105524.73000000003</v>
      </c>
      <c r="M224" s="25"/>
    </row>
    <row r="225" spans="2:13" x14ac:dyDescent="0.2">
      <c r="B225" s="64"/>
      <c r="C225" s="65"/>
      <c r="D225" s="65"/>
      <c r="E225" s="13"/>
      <c r="F225" s="13"/>
      <c r="G225" s="81"/>
      <c r="H225" s="568"/>
      <c r="I225" s="570"/>
      <c r="J225" s="12"/>
      <c r="K225" s="12"/>
      <c r="L225" s="63">
        <f t="shared" si="17"/>
        <v>105524.73000000003</v>
      </c>
      <c r="M225" s="25"/>
    </row>
    <row r="226" spans="2:13" x14ac:dyDescent="0.2">
      <c r="B226" s="64"/>
      <c r="C226" s="65"/>
      <c r="D226" s="65"/>
      <c r="E226" s="13"/>
      <c r="F226" s="13"/>
      <c r="G226" s="69"/>
      <c r="H226" s="568"/>
      <c r="I226" s="570"/>
      <c r="J226" s="12"/>
      <c r="K226" s="12"/>
      <c r="L226" s="63">
        <f t="shared" si="17"/>
        <v>105524.73000000003</v>
      </c>
      <c r="M226" s="25"/>
    </row>
    <row r="227" spans="2:13" ht="12" customHeight="1" x14ac:dyDescent="0.2">
      <c r="B227" s="64"/>
      <c r="C227" s="65"/>
      <c r="D227" s="65"/>
      <c r="E227" s="13"/>
      <c r="F227" s="13"/>
      <c r="G227" s="574"/>
      <c r="H227" s="575"/>
      <c r="I227" s="576"/>
      <c r="J227" s="12"/>
      <c r="K227" s="61"/>
      <c r="L227" s="63">
        <f t="shared" si="17"/>
        <v>105524.73000000003</v>
      </c>
      <c r="M227" s="25"/>
    </row>
    <row r="228" spans="2:13" ht="12" customHeight="1" x14ac:dyDescent="0.2">
      <c r="B228" s="64"/>
      <c r="C228" s="65"/>
      <c r="D228" s="65"/>
      <c r="E228" s="13"/>
      <c r="F228" s="13"/>
      <c r="G228" s="574"/>
      <c r="H228" s="575"/>
      <c r="I228" s="576"/>
      <c r="J228" s="12"/>
      <c r="K228" s="61"/>
      <c r="L228" s="63">
        <f t="shared" si="17"/>
        <v>105524.73000000003</v>
      </c>
      <c r="M228" s="25"/>
    </row>
    <row r="229" spans="2:13" ht="12" customHeight="1" x14ac:dyDescent="0.2">
      <c r="B229" s="64"/>
      <c r="C229" s="65"/>
      <c r="D229" s="65"/>
      <c r="E229" s="13"/>
      <c r="F229" s="13"/>
      <c r="G229" s="574"/>
      <c r="H229" s="575"/>
      <c r="I229" s="576"/>
      <c r="J229" s="12"/>
      <c r="K229" s="12"/>
      <c r="L229" s="63">
        <f t="shared" si="17"/>
        <v>105524.73000000003</v>
      </c>
      <c r="M229" s="25"/>
    </row>
    <row r="230" spans="2:13" ht="12" customHeight="1" x14ac:dyDescent="0.2">
      <c r="B230" s="64"/>
      <c r="C230" s="65"/>
      <c r="D230" s="65"/>
      <c r="E230" s="13"/>
      <c r="F230" s="13"/>
      <c r="G230" s="571"/>
      <c r="H230" s="572"/>
      <c r="I230" s="573"/>
      <c r="J230" s="12"/>
      <c r="K230" s="12"/>
      <c r="L230" s="63">
        <f t="shared" si="17"/>
        <v>105524.73000000003</v>
      </c>
      <c r="M230" s="25"/>
    </row>
    <row r="231" spans="2:13" ht="12" customHeight="1" x14ac:dyDescent="0.2">
      <c r="B231" s="64"/>
      <c r="C231" s="77"/>
      <c r="D231" s="65"/>
      <c r="E231" s="13"/>
      <c r="F231" s="13"/>
      <c r="G231" s="574"/>
      <c r="H231" s="575"/>
      <c r="I231" s="576"/>
      <c r="J231" s="12"/>
      <c r="K231" s="12"/>
      <c r="L231" s="63">
        <f t="shared" si="17"/>
        <v>105524.73000000003</v>
      </c>
      <c r="M231" s="25"/>
    </row>
    <row r="232" spans="2:13" ht="12" customHeight="1" x14ac:dyDescent="0.2">
      <c r="B232" s="64"/>
      <c r="C232" s="65"/>
      <c r="D232" s="65"/>
      <c r="E232" s="13"/>
      <c r="F232" s="13"/>
      <c r="G232" s="574"/>
      <c r="H232" s="575"/>
      <c r="I232" s="576"/>
      <c r="J232" s="12"/>
      <c r="K232" s="12"/>
      <c r="L232" s="63">
        <f t="shared" si="17"/>
        <v>105524.73000000003</v>
      </c>
      <c r="M232" s="25"/>
    </row>
    <row r="233" spans="2:13" x14ac:dyDescent="0.2">
      <c r="B233" s="64"/>
      <c r="C233" s="65"/>
      <c r="D233" s="65"/>
      <c r="E233" s="13"/>
      <c r="F233" s="13"/>
      <c r="G233" s="69"/>
      <c r="H233" s="351"/>
      <c r="I233" s="352"/>
      <c r="J233" s="12"/>
      <c r="K233" s="12"/>
      <c r="L233" s="63">
        <f t="shared" si="17"/>
        <v>105524.73000000003</v>
      </c>
      <c r="M233" s="25"/>
    </row>
    <row r="234" spans="2:13" x14ac:dyDescent="0.2">
      <c r="B234" s="64"/>
      <c r="C234" s="65"/>
      <c r="D234" s="65"/>
      <c r="E234" s="13"/>
      <c r="F234" s="13"/>
      <c r="G234" s="81"/>
      <c r="H234" s="62"/>
      <c r="I234" s="12"/>
      <c r="J234" s="12"/>
      <c r="K234" s="12"/>
      <c r="L234" s="63">
        <f t="shared" si="17"/>
        <v>105524.73000000003</v>
      </c>
      <c r="M234" s="25"/>
    </row>
    <row r="235" spans="2:13" x14ac:dyDescent="0.2">
      <c r="B235" s="64"/>
      <c r="C235" s="65"/>
      <c r="D235" s="65"/>
      <c r="E235" s="3"/>
      <c r="F235" s="13"/>
      <c r="G235" s="81"/>
      <c r="H235" s="62"/>
      <c r="I235" s="12"/>
      <c r="J235" s="12"/>
      <c r="K235" s="12"/>
      <c r="L235" s="63">
        <f t="shared" si="17"/>
        <v>105524.73000000003</v>
      </c>
      <c r="M235" s="25"/>
    </row>
    <row r="236" spans="2:13" ht="12.75" thickBot="1" x14ac:dyDescent="0.25">
      <c r="B236" s="64"/>
      <c r="C236" s="65"/>
      <c r="D236" s="65"/>
      <c r="E236" s="13"/>
      <c r="F236" s="13"/>
      <c r="G236" s="104"/>
      <c r="H236" s="84"/>
      <c r="I236" s="12"/>
      <c r="J236" s="12"/>
      <c r="K236" s="12"/>
      <c r="L236" s="63"/>
      <c r="M236" s="25"/>
    </row>
    <row r="237" spans="2:13" x14ac:dyDescent="0.2">
      <c r="B237" s="56"/>
      <c r="C237" s="57"/>
      <c r="D237" s="57"/>
      <c r="E237" s="5"/>
      <c r="F237" s="5"/>
      <c r="G237" s="85" t="s">
        <v>26</v>
      </c>
      <c r="H237" s="107">
        <f>SUM(H161:H203)</f>
        <v>9260</v>
      </c>
      <c r="I237" s="105">
        <f>SUM(I161:I202)</f>
        <v>2963.1999999999994</v>
      </c>
      <c r="J237" s="106">
        <f>SUM(J161:J202)</f>
        <v>6296.8</v>
      </c>
      <c r="K237" s="106">
        <f>SUM(K208:K235)</f>
        <v>11490</v>
      </c>
      <c r="L237" s="108"/>
      <c r="M237" s="25"/>
    </row>
    <row r="238" spans="2:13" ht="12.75" thickBot="1" x14ac:dyDescent="0.25">
      <c r="B238" s="71"/>
      <c r="C238" s="72"/>
      <c r="D238" s="72"/>
      <c r="E238" s="73"/>
      <c r="F238" s="73"/>
      <c r="G238" s="86" t="s">
        <v>13</v>
      </c>
      <c r="H238" s="100"/>
      <c r="I238" s="99"/>
      <c r="J238" s="87"/>
      <c r="K238" s="87"/>
      <c r="L238" s="88">
        <f>+J237-K237+L160</f>
        <v>105524.73000000003</v>
      </c>
      <c r="M238" s="25"/>
    </row>
    <row r="239" spans="2:13" x14ac:dyDescent="0.2">
      <c r="B239" s="25"/>
      <c r="H239" s="74"/>
      <c r="I239" s="25"/>
      <c r="L239" s="25"/>
      <c r="M239" s="25"/>
    </row>
    <row r="240" spans="2:13" ht="12" customHeight="1" x14ac:dyDescent="0.2">
      <c r="B240" s="544" t="s">
        <v>48</v>
      </c>
      <c r="C240" s="545"/>
      <c r="D240" s="545"/>
      <c r="E240" s="545"/>
      <c r="F240" s="545"/>
      <c r="G240" s="545"/>
      <c r="H240" s="545"/>
      <c r="I240" s="545"/>
      <c r="J240" s="545"/>
      <c r="K240" s="545"/>
      <c r="L240" s="546"/>
      <c r="M240" s="25"/>
    </row>
    <row r="241" spans="2:13" x14ac:dyDescent="0.2">
      <c r="B241" s="547" t="s">
        <v>574</v>
      </c>
      <c r="C241" s="548"/>
      <c r="D241" s="548"/>
      <c r="E241" s="548"/>
      <c r="F241" s="548"/>
      <c r="G241" s="548"/>
      <c r="H241" s="548"/>
      <c r="I241" s="548"/>
      <c r="J241" s="548"/>
      <c r="K241" s="548"/>
      <c r="L241" s="549"/>
      <c r="M241" s="25"/>
    </row>
    <row r="242" spans="2:13" x14ac:dyDescent="0.2">
      <c r="B242" s="550" t="s">
        <v>50</v>
      </c>
      <c r="C242" s="550"/>
      <c r="D242" s="551" t="s">
        <v>51</v>
      </c>
      <c r="E242" s="551"/>
      <c r="F242" s="551"/>
      <c r="G242" s="354"/>
      <c r="H242" s="354"/>
      <c r="I242" s="354"/>
      <c r="J242" s="354"/>
      <c r="K242" s="354"/>
      <c r="L242" s="355"/>
      <c r="M242" s="25"/>
    </row>
    <row r="243" spans="2:13" ht="24" x14ac:dyDescent="0.2">
      <c r="B243" s="56" t="s">
        <v>1</v>
      </c>
      <c r="C243" s="57" t="s">
        <v>2</v>
      </c>
      <c r="D243" s="57" t="s">
        <v>2</v>
      </c>
      <c r="E243" s="5" t="s">
        <v>3</v>
      </c>
      <c r="F243" s="5" t="s">
        <v>4</v>
      </c>
      <c r="G243" s="89" t="s">
        <v>6</v>
      </c>
      <c r="H243" s="83" t="s">
        <v>7</v>
      </c>
      <c r="I243" s="83" t="s">
        <v>52</v>
      </c>
      <c r="J243" s="83" t="s">
        <v>53</v>
      </c>
      <c r="K243" s="5" t="s">
        <v>10</v>
      </c>
      <c r="L243" s="5" t="s">
        <v>11</v>
      </c>
      <c r="M243" s="25"/>
    </row>
    <row r="244" spans="2:13" x14ac:dyDescent="0.2">
      <c r="B244" s="58"/>
      <c r="C244" s="59"/>
      <c r="D244" s="59"/>
      <c r="E244" s="13"/>
      <c r="F244" s="13"/>
      <c r="G244" s="24"/>
      <c r="H244" s="60"/>
      <c r="I244" s="61"/>
      <c r="J244" s="61"/>
      <c r="K244" s="61"/>
      <c r="L244" s="60">
        <f>L238</f>
        <v>105524.73000000003</v>
      </c>
      <c r="M244" s="25"/>
    </row>
    <row r="245" spans="2:13" x14ac:dyDescent="0.2">
      <c r="B245" s="110">
        <v>43948</v>
      </c>
      <c r="C245" s="353"/>
      <c r="D245" s="11"/>
      <c r="E245" s="15"/>
      <c r="F245" s="15"/>
      <c r="G245" s="15" t="s">
        <v>309</v>
      </c>
      <c r="H245" s="112">
        <v>144</v>
      </c>
      <c r="I245" s="12">
        <f>H245*0.32</f>
        <v>46.08</v>
      </c>
      <c r="J245" s="12">
        <f>H245*0.68</f>
        <v>97.92</v>
      </c>
      <c r="K245" s="12"/>
      <c r="L245" s="63">
        <f>+J245-K245+L244</f>
        <v>105622.65000000002</v>
      </c>
      <c r="M245" s="25"/>
    </row>
    <row r="246" spans="2:13" x14ac:dyDescent="0.2">
      <c r="B246" s="110"/>
      <c r="C246" s="353"/>
      <c r="D246" s="11"/>
      <c r="E246" s="15"/>
      <c r="F246" s="15"/>
      <c r="G246" s="15"/>
      <c r="H246" s="112"/>
      <c r="I246" s="12">
        <f t="shared" ref="I246:I289" si="20">H246*0.32</f>
        <v>0</v>
      </c>
      <c r="J246" s="12">
        <f t="shared" ref="J246:J289" si="21">H246*0.68</f>
        <v>0</v>
      </c>
      <c r="K246" s="12"/>
      <c r="L246" s="63">
        <f>+J246-K246+L245</f>
        <v>105622.65000000002</v>
      </c>
      <c r="M246" s="25"/>
    </row>
    <row r="247" spans="2:13" x14ac:dyDescent="0.2">
      <c r="B247" s="110"/>
      <c r="C247" s="353"/>
      <c r="D247" s="11"/>
      <c r="E247" s="15"/>
      <c r="F247" s="15"/>
      <c r="G247" s="15"/>
      <c r="H247" s="112"/>
      <c r="I247" s="12">
        <f t="shared" si="20"/>
        <v>0</v>
      </c>
      <c r="J247" s="12">
        <f t="shared" si="21"/>
        <v>0</v>
      </c>
      <c r="K247" s="12"/>
      <c r="L247" s="63">
        <f>+J247-K247+L246</f>
        <v>105622.65000000002</v>
      </c>
      <c r="M247" s="25"/>
    </row>
    <row r="248" spans="2:13" x14ac:dyDescent="0.2">
      <c r="B248" s="427">
        <v>43949</v>
      </c>
      <c r="C248" s="435" t="s">
        <v>789</v>
      </c>
      <c r="D248" s="415"/>
      <c r="E248" s="436"/>
      <c r="F248" s="436"/>
      <c r="G248" s="433"/>
      <c r="H248" s="437">
        <v>200</v>
      </c>
      <c r="I248" s="12">
        <f t="shared" si="20"/>
        <v>64</v>
      </c>
      <c r="J248" s="12">
        <f t="shared" si="21"/>
        <v>136</v>
      </c>
      <c r="K248" s="12"/>
      <c r="L248" s="63">
        <f>+J248-K248+L247</f>
        <v>105758.65000000002</v>
      </c>
      <c r="M248" s="25"/>
    </row>
    <row r="249" spans="2:13" x14ac:dyDescent="0.2">
      <c r="B249" s="110"/>
      <c r="C249" s="353"/>
      <c r="D249" s="11"/>
      <c r="E249" s="15"/>
      <c r="F249" s="15"/>
      <c r="G249" s="15"/>
      <c r="H249" s="425"/>
      <c r="I249" s="12">
        <f t="shared" si="20"/>
        <v>0</v>
      </c>
      <c r="J249" s="12">
        <f t="shared" si="21"/>
        <v>0</v>
      </c>
      <c r="K249" s="12"/>
      <c r="L249" s="63">
        <f t="shared" ref="L249:L310" si="22">+J249-K249+L248</f>
        <v>105758.65000000002</v>
      </c>
      <c r="M249" s="25"/>
    </row>
    <row r="250" spans="2:13" x14ac:dyDescent="0.2">
      <c r="B250" s="110"/>
      <c r="C250" s="353"/>
      <c r="D250" s="11"/>
      <c r="E250" s="15"/>
      <c r="F250" s="15"/>
      <c r="G250" s="15"/>
      <c r="H250" s="112"/>
      <c r="I250" s="12">
        <f t="shared" si="20"/>
        <v>0</v>
      </c>
      <c r="J250" s="12">
        <f t="shared" si="21"/>
        <v>0</v>
      </c>
      <c r="K250" s="12"/>
      <c r="L250" s="63">
        <f t="shared" si="22"/>
        <v>105758.65000000002</v>
      </c>
      <c r="M250" s="25"/>
    </row>
    <row r="251" spans="2:13" x14ac:dyDescent="0.2">
      <c r="B251" s="110"/>
      <c r="C251" s="353"/>
      <c r="D251" s="11"/>
      <c r="E251" s="15"/>
      <c r="F251" s="15"/>
      <c r="G251" s="15"/>
      <c r="H251" s="112"/>
      <c r="I251" s="12">
        <f t="shared" si="20"/>
        <v>0</v>
      </c>
      <c r="J251" s="12">
        <f t="shared" si="21"/>
        <v>0</v>
      </c>
      <c r="K251" s="12"/>
      <c r="L251" s="63">
        <f t="shared" si="22"/>
        <v>105758.65000000002</v>
      </c>
      <c r="M251" s="25"/>
    </row>
    <row r="252" spans="2:13" x14ac:dyDescent="0.2">
      <c r="B252" s="110"/>
      <c r="C252" s="353"/>
      <c r="D252" s="11"/>
      <c r="E252" s="15"/>
      <c r="F252" s="15"/>
      <c r="G252" s="15"/>
      <c r="H252" s="112"/>
      <c r="I252" s="12">
        <f t="shared" si="20"/>
        <v>0</v>
      </c>
      <c r="J252" s="12">
        <f t="shared" si="21"/>
        <v>0</v>
      </c>
      <c r="K252" s="12"/>
      <c r="L252" s="63">
        <f t="shared" si="22"/>
        <v>105758.65000000002</v>
      </c>
      <c r="M252" s="25"/>
    </row>
    <row r="253" spans="2:13" x14ac:dyDescent="0.2">
      <c r="B253" s="110"/>
      <c r="C253" s="353"/>
      <c r="D253" s="11"/>
      <c r="E253" s="15"/>
      <c r="F253" s="15"/>
      <c r="G253" s="15"/>
      <c r="H253" s="112"/>
      <c r="I253" s="12">
        <f t="shared" si="20"/>
        <v>0</v>
      </c>
      <c r="J253" s="12">
        <f t="shared" si="21"/>
        <v>0</v>
      </c>
      <c r="K253" s="12"/>
      <c r="L253" s="63">
        <f t="shared" si="22"/>
        <v>105758.65000000002</v>
      </c>
      <c r="M253" s="25"/>
    </row>
    <row r="254" spans="2:13" x14ac:dyDescent="0.2">
      <c r="B254" s="110"/>
      <c r="C254" s="353"/>
      <c r="D254" s="11"/>
      <c r="E254" s="15"/>
      <c r="F254" s="15"/>
      <c r="G254" s="15"/>
      <c r="H254" s="112"/>
      <c r="I254" s="12">
        <f t="shared" si="20"/>
        <v>0</v>
      </c>
      <c r="J254" s="12">
        <f t="shared" si="21"/>
        <v>0</v>
      </c>
      <c r="K254" s="12"/>
      <c r="L254" s="63">
        <f t="shared" si="22"/>
        <v>105758.65000000002</v>
      </c>
      <c r="M254" s="25"/>
    </row>
    <row r="255" spans="2:13" x14ac:dyDescent="0.2">
      <c r="B255" s="110"/>
      <c r="C255" s="353"/>
      <c r="D255" s="11"/>
      <c r="E255" s="15"/>
      <c r="F255" s="15"/>
      <c r="G255" s="15"/>
      <c r="H255" s="112"/>
      <c r="I255" s="12">
        <f t="shared" si="20"/>
        <v>0</v>
      </c>
      <c r="J255" s="12">
        <f t="shared" si="21"/>
        <v>0</v>
      </c>
      <c r="K255" s="12"/>
      <c r="L255" s="63">
        <f t="shared" si="22"/>
        <v>105758.65000000002</v>
      </c>
      <c r="M255" s="25"/>
    </row>
    <row r="256" spans="2:13" x14ac:dyDescent="0.2">
      <c r="B256" s="110"/>
      <c r="C256" s="353"/>
      <c r="D256" s="11"/>
      <c r="E256" s="15"/>
      <c r="F256" s="15"/>
      <c r="G256" s="15"/>
      <c r="H256" s="112"/>
      <c r="I256" s="12">
        <f t="shared" si="20"/>
        <v>0</v>
      </c>
      <c r="J256" s="12">
        <f t="shared" si="21"/>
        <v>0</v>
      </c>
      <c r="K256" s="12"/>
      <c r="L256" s="63">
        <f t="shared" si="22"/>
        <v>105758.65000000002</v>
      </c>
      <c r="M256" s="25"/>
    </row>
    <row r="257" spans="2:13" x14ac:dyDescent="0.2">
      <c r="B257" s="110"/>
      <c r="C257" s="353"/>
      <c r="D257" s="11"/>
      <c r="E257" s="15"/>
      <c r="F257" s="15"/>
      <c r="G257" s="15"/>
      <c r="H257" s="112"/>
      <c r="I257" s="12">
        <f t="shared" si="20"/>
        <v>0</v>
      </c>
      <c r="J257" s="12">
        <f t="shared" si="21"/>
        <v>0</v>
      </c>
      <c r="K257" s="12"/>
      <c r="L257" s="63">
        <f t="shared" si="22"/>
        <v>105758.65000000002</v>
      </c>
      <c r="M257" s="25"/>
    </row>
    <row r="258" spans="2:13" x14ac:dyDescent="0.2">
      <c r="B258" s="110"/>
      <c r="C258" s="353"/>
      <c r="D258" s="11"/>
      <c r="E258" s="15"/>
      <c r="F258" s="15"/>
      <c r="G258" s="15"/>
      <c r="H258" s="112"/>
      <c r="I258" s="12">
        <f t="shared" si="20"/>
        <v>0</v>
      </c>
      <c r="J258" s="12">
        <f t="shared" si="21"/>
        <v>0</v>
      </c>
      <c r="K258" s="12"/>
      <c r="L258" s="63">
        <f t="shared" si="22"/>
        <v>105758.65000000002</v>
      </c>
      <c r="M258" s="25"/>
    </row>
    <row r="259" spans="2:13" x14ac:dyDescent="0.2">
      <c r="B259" s="110"/>
      <c r="C259" s="353"/>
      <c r="D259" s="77"/>
      <c r="E259" s="13"/>
      <c r="F259" s="15"/>
      <c r="G259" s="15"/>
      <c r="H259" s="112"/>
      <c r="I259" s="12">
        <f t="shared" si="20"/>
        <v>0</v>
      </c>
      <c r="J259" s="12">
        <f t="shared" si="21"/>
        <v>0</v>
      </c>
      <c r="K259" s="12"/>
      <c r="L259" s="63">
        <f t="shared" si="22"/>
        <v>105758.65000000002</v>
      </c>
      <c r="M259" s="25"/>
    </row>
    <row r="260" spans="2:13" x14ac:dyDescent="0.2">
      <c r="B260" s="110"/>
      <c r="C260" s="353"/>
      <c r="D260" s="65"/>
      <c r="E260" s="13"/>
      <c r="F260" s="15"/>
      <c r="G260" s="66"/>
      <c r="H260" s="112"/>
      <c r="I260" s="12">
        <f t="shared" si="20"/>
        <v>0</v>
      </c>
      <c r="J260" s="12">
        <f t="shared" si="21"/>
        <v>0</v>
      </c>
      <c r="K260" s="12"/>
      <c r="L260" s="63">
        <f t="shared" si="22"/>
        <v>105758.65000000002</v>
      </c>
      <c r="M260" s="25"/>
    </row>
    <row r="261" spans="2:13" x14ac:dyDescent="0.2">
      <c r="B261" s="110"/>
      <c r="C261" s="353"/>
      <c r="D261" s="65"/>
      <c r="E261" s="13"/>
      <c r="F261" s="15"/>
      <c r="G261" s="66"/>
      <c r="H261" s="112"/>
      <c r="I261" s="12">
        <f t="shared" si="20"/>
        <v>0</v>
      </c>
      <c r="J261" s="12">
        <f t="shared" si="21"/>
        <v>0</v>
      </c>
      <c r="K261" s="12"/>
      <c r="L261" s="63">
        <f t="shared" si="22"/>
        <v>105758.65000000002</v>
      </c>
      <c r="M261" s="25"/>
    </row>
    <row r="262" spans="2:13" x14ac:dyDescent="0.2">
      <c r="B262" s="110"/>
      <c r="C262" s="353"/>
      <c r="D262" s="65"/>
      <c r="E262" s="13"/>
      <c r="F262" s="15"/>
      <c r="G262" s="66"/>
      <c r="H262" s="112"/>
      <c r="I262" s="12">
        <f t="shared" si="20"/>
        <v>0</v>
      </c>
      <c r="J262" s="12">
        <f t="shared" si="21"/>
        <v>0</v>
      </c>
      <c r="K262" s="12"/>
      <c r="L262" s="63">
        <f t="shared" si="22"/>
        <v>105758.65000000002</v>
      </c>
      <c r="M262" s="25"/>
    </row>
    <row r="263" spans="2:13" x14ac:dyDescent="0.2">
      <c r="B263" s="110"/>
      <c r="C263" s="353"/>
      <c r="D263" s="65"/>
      <c r="E263" s="13"/>
      <c r="F263" s="15"/>
      <c r="G263" s="66"/>
      <c r="H263" s="112"/>
      <c r="I263" s="12">
        <f t="shared" si="20"/>
        <v>0</v>
      </c>
      <c r="J263" s="12">
        <f t="shared" si="21"/>
        <v>0</v>
      </c>
      <c r="K263" s="12"/>
      <c r="L263" s="63">
        <f t="shared" si="22"/>
        <v>105758.65000000002</v>
      </c>
      <c r="M263" s="25"/>
    </row>
    <row r="264" spans="2:13" x14ac:dyDescent="0.2">
      <c r="B264" s="110"/>
      <c r="C264" s="353"/>
      <c r="D264" s="65"/>
      <c r="E264" s="13"/>
      <c r="F264" s="15"/>
      <c r="G264" s="66"/>
      <c r="H264" s="112"/>
      <c r="I264" s="12">
        <f t="shared" si="20"/>
        <v>0</v>
      </c>
      <c r="J264" s="12">
        <f t="shared" si="21"/>
        <v>0</v>
      </c>
      <c r="K264" s="12"/>
      <c r="L264" s="63">
        <f t="shared" si="22"/>
        <v>105758.65000000002</v>
      </c>
      <c r="M264" s="25"/>
    </row>
    <row r="265" spans="2:13" x14ac:dyDescent="0.2">
      <c r="B265" s="110"/>
      <c r="C265" s="353"/>
      <c r="D265" s="65"/>
      <c r="E265" s="13"/>
      <c r="F265" s="15"/>
      <c r="G265" s="66"/>
      <c r="H265" s="112"/>
      <c r="I265" s="12">
        <f t="shared" si="20"/>
        <v>0</v>
      </c>
      <c r="J265" s="12">
        <f t="shared" si="21"/>
        <v>0</v>
      </c>
      <c r="K265" s="12"/>
      <c r="L265" s="63">
        <f t="shared" si="22"/>
        <v>105758.65000000002</v>
      </c>
      <c r="M265" s="25"/>
    </row>
    <row r="266" spans="2:13" x14ac:dyDescent="0.2">
      <c r="B266" s="110"/>
      <c r="C266" s="353"/>
      <c r="D266" s="65"/>
      <c r="E266" s="13"/>
      <c r="F266" s="15"/>
      <c r="G266" s="66"/>
      <c r="H266" s="112"/>
      <c r="I266" s="12">
        <f t="shared" si="20"/>
        <v>0</v>
      </c>
      <c r="J266" s="12">
        <f t="shared" si="21"/>
        <v>0</v>
      </c>
      <c r="K266" s="12"/>
      <c r="L266" s="63">
        <f t="shared" si="22"/>
        <v>105758.65000000002</v>
      </c>
      <c r="M266" s="25"/>
    </row>
    <row r="267" spans="2:13" x14ac:dyDescent="0.2">
      <c r="B267" s="110"/>
      <c r="C267" s="353"/>
      <c r="D267" s="65"/>
      <c r="E267" s="13"/>
      <c r="F267" s="15"/>
      <c r="G267" s="66"/>
      <c r="H267" s="112"/>
      <c r="I267" s="12">
        <f t="shared" si="20"/>
        <v>0</v>
      </c>
      <c r="J267" s="12">
        <f t="shared" si="21"/>
        <v>0</v>
      </c>
      <c r="K267" s="12"/>
      <c r="L267" s="63"/>
      <c r="M267" s="25"/>
    </row>
    <row r="268" spans="2:13" x14ac:dyDescent="0.2">
      <c r="B268" s="110"/>
      <c r="C268" s="353"/>
      <c r="D268" s="65"/>
      <c r="E268" s="13"/>
      <c r="F268" s="15"/>
      <c r="G268" s="66"/>
      <c r="H268" s="112"/>
      <c r="I268" s="12">
        <f t="shared" si="20"/>
        <v>0</v>
      </c>
      <c r="J268" s="12">
        <f t="shared" si="21"/>
        <v>0</v>
      </c>
      <c r="K268" s="12"/>
      <c r="L268" s="63"/>
      <c r="M268" s="25"/>
    </row>
    <row r="269" spans="2:13" x14ac:dyDescent="0.2">
      <c r="B269" s="110"/>
      <c r="C269" s="353"/>
      <c r="D269" s="65"/>
      <c r="E269" s="13"/>
      <c r="F269" s="15"/>
      <c r="G269" s="66"/>
      <c r="H269" s="112"/>
      <c r="I269" s="12">
        <f t="shared" si="20"/>
        <v>0</v>
      </c>
      <c r="J269" s="12">
        <f t="shared" si="21"/>
        <v>0</v>
      </c>
      <c r="K269" s="12"/>
      <c r="L269" s="63"/>
      <c r="M269" s="25"/>
    </row>
    <row r="270" spans="2:13" x14ac:dyDescent="0.2">
      <c r="B270" s="110"/>
      <c r="C270" s="353"/>
      <c r="D270" s="65"/>
      <c r="E270" s="13"/>
      <c r="F270" s="15"/>
      <c r="G270" s="66"/>
      <c r="H270" s="112"/>
      <c r="I270" s="12">
        <f t="shared" si="20"/>
        <v>0</v>
      </c>
      <c r="J270" s="12">
        <f t="shared" si="21"/>
        <v>0</v>
      </c>
      <c r="K270" s="12"/>
      <c r="L270" s="63"/>
      <c r="M270" s="25"/>
    </row>
    <row r="271" spans="2:13" x14ac:dyDescent="0.2">
      <c r="B271" s="110"/>
      <c r="C271" s="353"/>
      <c r="D271" s="65"/>
      <c r="E271" s="13"/>
      <c r="F271" s="15"/>
      <c r="G271" s="66"/>
      <c r="H271" s="112"/>
      <c r="I271" s="12">
        <f t="shared" si="20"/>
        <v>0</v>
      </c>
      <c r="J271" s="12">
        <f t="shared" si="21"/>
        <v>0</v>
      </c>
      <c r="K271" s="12"/>
      <c r="L271" s="63"/>
      <c r="M271" s="25"/>
    </row>
    <row r="272" spans="2:13" x14ac:dyDescent="0.2">
      <c r="B272" s="110"/>
      <c r="C272" s="353"/>
      <c r="D272" s="65"/>
      <c r="E272" s="13"/>
      <c r="F272" s="15"/>
      <c r="G272" s="66"/>
      <c r="H272" s="112"/>
      <c r="I272" s="12">
        <f t="shared" si="20"/>
        <v>0</v>
      </c>
      <c r="J272" s="12">
        <f t="shared" si="21"/>
        <v>0</v>
      </c>
      <c r="K272" s="12"/>
      <c r="L272" s="63"/>
      <c r="M272" s="25"/>
    </row>
    <row r="273" spans="2:13" x14ac:dyDescent="0.2">
      <c r="B273" s="110"/>
      <c r="C273" s="353"/>
      <c r="D273" s="65"/>
      <c r="E273" s="13"/>
      <c r="F273" s="15"/>
      <c r="G273" s="66"/>
      <c r="H273" s="112"/>
      <c r="I273" s="12">
        <f t="shared" si="20"/>
        <v>0</v>
      </c>
      <c r="J273" s="12">
        <f t="shared" si="21"/>
        <v>0</v>
      </c>
      <c r="K273" s="12"/>
      <c r="L273" s="63"/>
      <c r="M273" s="25"/>
    </row>
    <row r="274" spans="2:13" x14ac:dyDescent="0.2">
      <c r="B274" s="110"/>
      <c r="C274" s="353"/>
      <c r="D274" s="65"/>
      <c r="E274" s="13"/>
      <c r="F274" s="15"/>
      <c r="G274" s="66"/>
      <c r="H274" s="112"/>
      <c r="I274" s="12">
        <f t="shared" si="20"/>
        <v>0</v>
      </c>
      <c r="J274" s="12">
        <f t="shared" si="21"/>
        <v>0</v>
      </c>
      <c r="K274" s="12"/>
      <c r="L274" s="63"/>
      <c r="M274" s="25"/>
    </row>
    <row r="275" spans="2:13" x14ac:dyDescent="0.2">
      <c r="B275" s="110"/>
      <c r="C275" s="353"/>
      <c r="D275" s="65"/>
      <c r="E275" s="13"/>
      <c r="F275" s="15"/>
      <c r="G275" s="66"/>
      <c r="H275" s="112"/>
      <c r="I275" s="12">
        <f t="shared" si="20"/>
        <v>0</v>
      </c>
      <c r="J275" s="12">
        <f t="shared" si="21"/>
        <v>0</v>
      </c>
      <c r="K275" s="12"/>
      <c r="L275" s="63"/>
      <c r="M275" s="25"/>
    </row>
    <row r="276" spans="2:13" x14ac:dyDescent="0.2">
      <c r="B276" s="110"/>
      <c r="C276" s="353"/>
      <c r="D276" s="65"/>
      <c r="E276" s="13"/>
      <c r="F276" s="15"/>
      <c r="G276" s="66"/>
      <c r="H276" s="112"/>
      <c r="I276" s="12">
        <f t="shared" si="20"/>
        <v>0</v>
      </c>
      <c r="J276" s="12">
        <f t="shared" si="21"/>
        <v>0</v>
      </c>
      <c r="K276" s="12"/>
      <c r="L276" s="63"/>
      <c r="M276" s="25"/>
    </row>
    <row r="277" spans="2:13" x14ac:dyDescent="0.2">
      <c r="B277" s="110"/>
      <c r="C277" s="353"/>
      <c r="D277" s="65"/>
      <c r="E277" s="13"/>
      <c r="F277" s="15"/>
      <c r="G277" s="66"/>
      <c r="H277" s="112"/>
      <c r="I277" s="12">
        <f t="shared" si="20"/>
        <v>0</v>
      </c>
      <c r="J277" s="12">
        <f t="shared" si="21"/>
        <v>0</v>
      </c>
      <c r="K277" s="12"/>
      <c r="L277" s="63"/>
      <c r="M277" s="25"/>
    </row>
    <row r="278" spans="2:13" x14ac:dyDescent="0.2">
      <c r="B278" s="110"/>
      <c r="C278" s="353"/>
      <c r="D278" s="65"/>
      <c r="E278" s="13"/>
      <c r="F278" s="15"/>
      <c r="G278" s="66"/>
      <c r="H278" s="112"/>
      <c r="I278" s="12">
        <f t="shared" si="20"/>
        <v>0</v>
      </c>
      <c r="J278" s="12">
        <f t="shared" si="21"/>
        <v>0</v>
      </c>
      <c r="K278" s="12"/>
      <c r="L278" s="63"/>
      <c r="M278" s="25"/>
    </row>
    <row r="279" spans="2:13" x14ac:dyDescent="0.2">
      <c r="B279" s="110"/>
      <c r="C279" s="353"/>
      <c r="D279" s="65"/>
      <c r="E279" s="13"/>
      <c r="F279" s="15"/>
      <c r="G279" s="66"/>
      <c r="H279" s="112"/>
      <c r="I279" s="12">
        <f t="shared" si="20"/>
        <v>0</v>
      </c>
      <c r="J279" s="12">
        <f t="shared" si="21"/>
        <v>0</v>
      </c>
      <c r="K279" s="12"/>
      <c r="L279" s="63"/>
      <c r="M279" s="25"/>
    </row>
    <row r="280" spans="2:13" x14ac:dyDescent="0.2">
      <c r="B280" s="110"/>
      <c r="C280" s="353"/>
      <c r="D280" s="65"/>
      <c r="E280" s="13"/>
      <c r="F280" s="15"/>
      <c r="G280" s="66"/>
      <c r="H280" s="112"/>
      <c r="I280" s="12">
        <f t="shared" si="20"/>
        <v>0</v>
      </c>
      <c r="J280" s="12">
        <f t="shared" si="21"/>
        <v>0</v>
      </c>
      <c r="K280" s="12"/>
      <c r="L280" s="63"/>
      <c r="M280" s="25"/>
    </row>
    <row r="281" spans="2:13" x14ac:dyDescent="0.2">
      <c r="B281" s="110"/>
      <c r="C281" s="353"/>
      <c r="D281" s="65"/>
      <c r="E281" s="13"/>
      <c r="F281" s="15"/>
      <c r="G281" s="66"/>
      <c r="H281" s="112"/>
      <c r="I281" s="12">
        <f t="shared" si="20"/>
        <v>0</v>
      </c>
      <c r="J281" s="12">
        <f t="shared" si="21"/>
        <v>0</v>
      </c>
      <c r="K281" s="12"/>
      <c r="L281" s="63"/>
      <c r="M281" s="25"/>
    </row>
    <row r="282" spans="2:13" x14ac:dyDescent="0.2">
      <c r="B282" s="110"/>
      <c r="C282" s="353"/>
      <c r="D282" s="65"/>
      <c r="E282" s="13"/>
      <c r="F282" s="15"/>
      <c r="G282" s="66"/>
      <c r="H282" s="112"/>
      <c r="I282" s="12">
        <f t="shared" si="20"/>
        <v>0</v>
      </c>
      <c r="J282" s="12">
        <f t="shared" si="21"/>
        <v>0</v>
      </c>
      <c r="K282" s="12"/>
      <c r="L282" s="63"/>
      <c r="M282" s="25"/>
    </row>
    <row r="283" spans="2:13" x14ac:dyDescent="0.2">
      <c r="B283" s="110"/>
      <c r="C283" s="353"/>
      <c r="D283" s="65"/>
      <c r="E283" s="13"/>
      <c r="F283" s="15"/>
      <c r="G283" s="66"/>
      <c r="H283" s="112"/>
      <c r="I283" s="12">
        <f t="shared" si="20"/>
        <v>0</v>
      </c>
      <c r="J283" s="12">
        <f t="shared" si="21"/>
        <v>0</v>
      </c>
      <c r="K283" s="12"/>
      <c r="L283" s="63"/>
      <c r="M283" s="25"/>
    </row>
    <row r="284" spans="2:13" x14ac:dyDescent="0.2">
      <c r="B284" s="110"/>
      <c r="C284" s="353"/>
      <c r="D284" s="65"/>
      <c r="E284" s="13"/>
      <c r="F284" s="15"/>
      <c r="G284" s="66"/>
      <c r="H284" s="112"/>
      <c r="I284" s="12">
        <f t="shared" si="20"/>
        <v>0</v>
      </c>
      <c r="J284" s="12">
        <f t="shared" si="21"/>
        <v>0</v>
      </c>
      <c r="K284" s="12"/>
      <c r="L284" s="63"/>
      <c r="M284" s="25"/>
    </row>
    <row r="285" spans="2:13" x14ac:dyDescent="0.2">
      <c r="B285" s="110"/>
      <c r="C285" s="353"/>
      <c r="D285" s="65"/>
      <c r="E285" s="13"/>
      <c r="F285" s="15"/>
      <c r="G285" s="66"/>
      <c r="H285" s="112"/>
      <c r="I285" s="12">
        <f t="shared" si="20"/>
        <v>0</v>
      </c>
      <c r="J285" s="12">
        <f t="shared" si="21"/>
        <v>0</v>
      </c>
      <c r="K285" s="12"/>
      <c r="L285" s="63"/>
      <c r="M285" s="25"/>
    </row>
    <row r="286" spans="2:13" x14ac:dyDescent="0.2">
      <c r="B286" s="110"/>
      <c r="C286" s="353"/>
      <c r="D286" s="65"/>
      <c r="E286" s="13"/>
      <c r="F286" s="15"/>
      <c r="G286" s="66"/>
      <c r="H286" s="112"/>
      <c r="I286" s="12">
        <f t="shared" si="20"/>
        <v>0</v>
      </c>
      <c r="J286" s="12">
        <f t="shared" si="21"/>
        <v>0</v>
      </c>
      <c r="K286" s="12"/>
      <c r="L286" s="63"/>
      <c r="M286" s="25"/>
    </row>
    <row r="287" spans="2:13" x14ac:dyDescent="0.2">
      <c r="B287" s="110"/>
      <c r="C287" s="353"/>
      <c r="D287" s="65"/>
      <c r="E287" s="13"/>
      <c r="F287" s="15"/>
      <c r="G287" s="66"/>
      <c r="H287" s="112"/>
      <c r="I287" s="12">
        <f t="shared" si="20"/>
        <v>0</v>
      </c>
      <c r="J287" s="12">
        <f t="shared" si="21"/>
        <v>0</v>
      </c>
      <c r="K287" s="12"/>
      <c r="L287" s="63"/>
      <c r="M287" s="25"/>
    </row>
    <row r="288" spans="2:13" x14ac:dyDescent="0.2">
      <c r="B288" s="110"/>
      <c r="C288" s="353"/>
      <c r="D288" s="65"/>
      <c r="E288" s="13"/>
      <c r="F288" s="15"/>
      <c r="G288" s="66"/>
      <c r="H288" s="112"/>
      <c r="I288" s="12">
        <f t="shared" si="20"/>
        <v>0</v>
      </c>
      <c r="J288" s="12">
        <f t="shared" si="21"/>
        <v>0</v>
      </c>
      <c r="K288" s="12"/>
      <c r="L288" s="63"/>
      <c r="M288" s="25"/>
    </row>
    <row r="289" spans="2:13" x14ac:dyDescent="0.2">
      <c r="B289" s="110"/>
      <c r="C289" s="353"/>
      <c r="D289" s="65"/>
      <c r="E289" s="13"/>
      <c r="F289" s="15"/>
      <c r="G289" s="66"/>
      <c r="H289" s="112"/>
      <c r="I289" s="12">
        <f t="shared" si="20"/>
        <v>0</v>
      </c>
      <c r="J289" s="12">
        <f t="shared" si="21"/>
        <v>0</v>
      </c>
      <c r="K289" s="12"/>
      <c r="L289" s="63"/>
      <c r="M289" s="25"/>
    </row>
    <row r="290" spans="2:13" x14ac:dyDescent="0.2">
      <c r="B290" s="110"/>
      <c r="C290" s="353"/>
      <c r="D290" s="65"/>
      <c r="E290" s="13"/>
      <c r="F290" s="15"/>
      <c r="G290" s="66"/>
      <c r="H290" s="112"/>
      <c r="I290" s="12"/>
      <c r="J290" s="12"/>
      <c r="K290" s="12"/>
      <c r="L290" s="63"/>
      <c r="M290" s="25"/>
    </row>
    <row r="291" spans="2:13" x14ac:dyDescent="0.2">
      <c r="B291" s="110"/>
      <c r="C291" s="353"/>
      <c r="D291" s="65"/>
      <c r="E291" s="13"/>
      <c r="F291" s="15"/>
      <c r="G291" s="66"/>
      <c r="H291" s="112"/>
      <c r="I291" s="12"/>
      <c r="J291" s="12"/>
      <c r="K291" s="12"/>
      <c r="L291" s="63"/>
      <c r="M291" s="25"/>
    </row>
    <row r="292" spans="2:13" x14ac:dyDescent="0.2">
      <c r="B292" s="110"/>
      <c r="C292" s="353"/>
      <c r="D292" s="65"/>
      <c r="E292" s="13"/>
      <c r="F292" s="15"/>
      <c r="G292" s="66"/>
      <c r="H292" s="112"/>
      <c r="I292" s="12"/>
      <c r="J292" s="12"/>
      <c r="K292" s="12"/>
      <c r="L292" s="63"/>
      <c r="M292" s="25"/>
    </row>
    <row r="293" spans="2:13" x14ac:dyDescent="0.2">
      <c r="B293" s="110"/>
      <c r="C293" s="65"/>
      <c r="D293" s="65"/>
      <c r="E293" s="13"/>
      <c r="F293" s="15"/>
      <c r="G293" s="66"/>
      <c r="H293" s="112"/>
      <c r="I293" s="12"/>
      <c r="J293" s="12"/>
      <c r="K293" s="12"/>
      <c r="L293" s="63">
        <f>+J293-K293+L266</f>
        <v>105758.65000000002</v>
      </c>
      <c r="M293" s="25"/>
    </row>
    <row r="294" spans="2:13" x14ac:dyDescent="0.2">
      <c r="B294" s="547" t="s">
        <v>215</v>
      </c>
      <c r="C294" s="548"/>
      <c r="D294" s="548"/>
      <c r="E294" s="548"/>
      <c r="F294" s="548"/>
      <c r="G294" s="548"/>
      <c r="H294" s="548"/>
      <c r="I294" s="548"/>
      <c r="J294" s="548"/>
      <c r="K294" s="549"/>
      <c r="L294" s="63">
        <f t="shared" si="22"/>
        <v>105758.65000000002</v>
      </c>
      <c r="M294" s="25"/>
    </row>
    <row r="295" spans="2:13" x14ac:dyDescent="0.2">
      <c r="B295" s="552" t="s">
        <v>56</v>
      </c>
      <c r="C295" s="553"/>
      <c r="D295" s="554" t="s">
        <v>51</v>
      </c>
      <c r="E295" s="554"/>
      <c r="F295" s="554"/>
      <c r="G295" s="94"/>
      <c r="H295" s="95"/>
      <c r="I295" s="96"/>
      <c r="J295" s="96"/>
      <c r="K295" s="97"/>
      <c r="L295" s="63">
        <f t="shared" si="22"/>
        <v>105758.65000000002</v>
      </c>
      <c r="M295" s="25"/>
    </row>
    <row r="296" spans="2:13" x14ac:dyDescent="0.2">
      <c r="B296" s="91" t="s">
        <v>1</v>
      </c>
      <c r="C296" s="92" t="s">
        <v>57</v>
      </c>
      <c r="D296" s="92" t="s">
        <v>2</v>
      </c>
      <c r="E296" s="356" t="s">
        <v>3</v>
      </c>
      <c r="F296" s="356" t="s">
        <v>4</v>
      </c>
      <c r="G296" s="561" t="s">
        <v>58</v>
      </c>
      <c r="H296" s="562"/>
      <c r="I296" s="562"/>
      <c r="J296" s="563"/>
      <c r="K296" s="90"/>
      <c r="L296" s="63">
        <f t="shared" si="22"/>
        <v>105758.65000000002</v>
      </c>
      <c r="M296" s="25"/>
    </row>
    <row r="297" spans="2:13" ht="40.5" customHeight="1" x14ac:dyDescent="0.2">
      <c r="B297" s="64">
        <v>43580</v>
      </c>
      <c r="C297" s="349"/>
      <c r="D297" s="349"/>
      <c r="E297" s="3"/>
      <c r="F297" s="16"/>
      <c r="G297" s="565" t="s">
        <v>758</v>
      </c>
      <c r="H297" s="566"/>
      <c r="I297" s="566"/>
      <c r="J297" s="567"/>
      <c r="K297" s="408">
        <v>1040</v>
      </c>
      <c r="L297" s="63">
        <f t="shared" si="22"/>
        <v>104718.65000000002</v>
      </c>
      <c r="M297" s="25"/>
    </row>
    <row r="298" spans="2:13" ht="38.25" customHeight="1" x14ac:dyDescent="0.2">
      <c r="B298" s="10"/>
      <c r="C298" s="77"/>
      <c r="D298" s="77"/>
      <c r="E298" s="3"/>
      <c r="F298" s="16"/>
      <c r="G298" s="565" t="s">
        <v>757</v>
      </c>
      <c r="H298" s="566"/>
      <c r="I298" s="566"/>
      <c r="J298" s="567"/>
      <c r="K298" s="408">
        <v>1040</v>
      </c>
      <c r="L298" s="63">
        <f t="shared" si="22"/>
        <v>103678.65000000002</v>
      </c>
      <c r="M298" s="25"/>
    </row>
    <row r="299" spans="2:13" ht="41.25" customHeight="1" x14ac:dyDescent="0.2">
      <c r="B299" s="64"/>
      <c r="C299" s="77"/>
      <c r="D299" s="78"/>
      <c r="E299" s="3"/>
      <c r="F299" s="16"/>
      <c r="G299" s="565" t="s">
        <v>756</v>
      </c>
      <c r="H299" s="566"/>
      <c r="I299" s="566"/>
      <c r="J299" s="567"/>
      <c r="K299" s="408">
        <v>1040</v>
      </c>
      <c r="L299" s="63">
        <f t="shared" si="22"/>
        <v>102638.65000000002</v>
      </c>
      <c r="M299" s="25"/>
    </row>
    <row r="300" spans="2:13" ht="41.25" customHeight="1" x14ac:dyDescent="0.2">
      <c r="B300" s="64"/>
      <c r="C300" s="78"/>
      <c r="D300" s="78"/>
      <c r="E300" s="3"/>
      <c r="F300" s="16"/>
      <c r="G300" s="565" t="s">
        <v>759</v>
      </c>
      <c r="H300" s="566"/>
      <c r="I300" s="566"/>
      <c r="J300" s="567"/>
      <c r="K300" s="408">
        <v>1040</v>
      </c>
      <c r="L300" s="63">
        <f t="shared" si="22"/>
        <v>101598.65000000002</v>
      </c>
      <c r="M300" s="25"/>
    </row>
    <row r="301" spans="2:13" ht="37.5" customHeight="1" x14ac:dyDescent="0.2">
      <c r="B301" s="64">
        <v>43581</v>
      </c>
      <c r="C301" s="77"/>
      <c r="D301" s="78"/>
      <c r="E301" s="3"/>
      <c r="F301" s="16"/>
      <c r="G301" s="565" t="s">
        <v>760</v>
      </c>
      <c r="H301" s="566"/>
      <c r="I301" s="566"/>
      <c r="J301" s="567"/>
      <c r="K301" s="408">
        <v>1040</v>
      </c>
      <c r="L301" s="63">
        <f t="shared" si="22"/>
        <v>100558.65000000002</v>
      </c>
      <c r="M301" s="25"/>
    </row>
    <row r="302" spans="2:13" ht="41.25" customHeight="1" x14ac:dyDescent="0.2">
      <c r="B302" s="64"/>
      <c r="C302" s="78"/>
      <c r="D302" s="78"/>
      <c r="E302" s="3"/>
      <c r="F302" s="16"/>
      <c r="G302" s="565" t="s">
        <v>761</v>
      </c>
      <c r="H302" s="566"/>
      <c r="I302" s="566"/>
      <c r="J302" s="567"/>
      <c r="K302" s="408">
        <v>600</v>
      </c>
      <c r="L302" s="63">
        <f t="shared" si="22"/>
        <v>99958.650000000023</v>
      </c>
      <c r="M302" s="25"/>
    </row>
    <row r="303" spans="2:13" ht="35.25" customHeight="1" x14ac:dyDescent="0.2">
      <c r="B303" s="64"/>
      <c r="C303" s="78"/>
      <c r="D303" s="78"/>
      <c r="E303" s="3"/>
      <c r="F303" s="16"/>
      <c r="G303" s="565" t="s">
        <v>762</v>
      </c>
      <c r="H303" s="566"/>
      <c r="I303" s="566"/>
      <c r="J303" s="567"/>
      <c r="K303" s="408">
        <v>1040</v>
      </c>
      <c r="L303" s="63">
        <f t="shared" si="22"/>
        <v>98918.650000000023</v>
      </c>
      <c r="M303" s="25"/>
    </row>
    <row r="304" spans="2:13" ht="35.25" customHeight="1" x14ac:dyDescent="0.2">
      <c r="B304" s="64"/>
      <c r="C304" s="78"/>
      <c r="D304" s="78"/>
      <c r="E304" s="3"/>
      <c r="F304" s="16"/>
      <c r="G304" s="565" t="s">
        <v>763</v>
      </c>
      <c r="H304" s="566"/>
      <c r="I304" s="566"/>
      <c r="J304" s="567"/>
      <c r="K304" s="408">
        <v>1040</v>
      </c>
      <c r="L304" s="63">
        <f t="shared" si="22"/>
        <v>97878.650000000023</v>
      </c>
      <c r="M304" s="25"/>
    </row>
    <row r="305" spans="2:13" ht="27" customHeight="1" x14ac:dyDescent="0.2">
      <c r="B305" s="64"/>
      <c r="C305" s="78"/>
      <c r="D305" s="78"/>
      <c r="E305" s="3"/>
      <c r="F305" s="16"/>
      <c r="G305" s="594" t="s">
        <v>767</v>
      </c>
      <c r="H305" s="595"/>
      <c r="I305" s="595"/>
      <c r="J305" s="596"/>
      <c r="K305" s="70">
        <v>1700</v>
      </c>
      <c r="L305" s="63">
        <f t="shared" si="22"/>
        <v>96178.650000000023</v>
      </c>
      <c r="M305" s="25"/>
    </row>
    <row r="306" spans="2:13" ht="27" customHeight="1" x14ac:dyDescent="0.2">
      <c r="B306" s="10">
        <v>43584</v>
      </c>
      <c r="C306" s="359"/>
      <c r="D306" s="78"/>
      <c r="E306" s="3"/>
      <c r="F306" s="16"/>
      <c r="G306" s="594" t="s">
        <v>764</v>
      </c>
      <c r="H306" s="595"/>
      <c r="I306" s="595"/>
      <c r="J306" s="596"/>
      <c r="K306" s="70">
        <v>500</v>
      </c>
      <c r="L306" s="63">
        <f t="shared" si="22"/>
        <v>95678.650000000023</v>
      </c>
      <c r="M306" s="25"/>
    </row>
    <row r="307" spans="2:13" ht="27" customHeight="1" x14ac:dyDescent="0.2">
      <c r="B307" s="64"/>
      <c r="C307" s="78"/>
      <c r="D307" s="78"/>
      <c r="E307" s="3"/>
      <c r="F307" s="16"/>
      <c r="G307" s="594" t="s">
        <v>765</v>
      </c>
      <c r="H307" s="595"/>
      <c r="I307" s="595"/>
      <c r="J307" s="596"/>
      <c r="K307" s="70">
        <v>500</v>
      </c>
      <c r="L307" s="63">
        <f t="shared" si="22"/>
        <v>95178.650000000023</v>
      </c>
      <c r="M307" s="25"/>
    </row>
    <row r="308" spans="2:13" ht="27" customHeight="1" x14ac:dyDescent="0.2">
      <c r="B308" s="64"/>
      <c r="C308" s="78"/>
      <c r="D308" s="78"/>
      <c r="E308" s="3"/>
      <c r="F308" s="16"/>
      <c r="G308" s="594" t="s">
        <v>766</v>
      </c>
      <c r="H308" s="595"/>
      <c r="I308" s="595"/>
      <c r="J308" s="596"/>
      <c r="K308" s="70">
        <v>975</v>
      </c>
      <c r="L308" s="63">
        <f t="shared" si="22"/>
        <v>94203.650000000023</v>
      </c>
      <c r="M308" s="25"/>
    </row>
    <row r="309" spans="2:13" ht="28.5" customHeight="1" x14ac:dyDescent="0.2">
      <c r="B309" s="64"/>
      <c r="C309" s="65"/>
      <c r="D309" s="65"/>
      <c r="E309" s="13"/>
      <c r="F309" s="13"/>
      <c r="G309" s="565" t="s">
        <v>768</v>
      </c>
      <c r="H309" s="566"/>
      <c r="I309" s="566"/>
      <c r="J309" s="567"/>
      <c r="K309" s="408">
        <v>1200</v>
      </c>
      <c r="L309" s="63">
        <f t="shared" si="22"/>
        <v>93003.650000000023</v>
      </c>
      <c r="M309" s="25"/>
    </row>
    <row r="310" spans="2:13" x14ac:dyDescent="0.2">
      <c r="B310" s="64"/>
      <c r="C310" s="65"/>
      <c r="D310" s="65"/>
      <c r="E310" s="3"/>
      <c r="F310" s="13"/>
      <c r="G310" s="81"/>
      <c r="H310" s="62"/>
      <c r="I310" s="12"/>
      <c r="J310" s="12"/>
      <c r="K310" s="12"/>
      <c r="L310" s="63">
        <f t="shared" si="22"/>
        <v>93003.650000000023</v>
      </c>
      <c r="M310" s="25"/>
    </row>
    <row r="311" spans="2:13" ht="12.75" thickBot="1" x14ac:dyDescent="0.25">
      <c r="B311" s="64"/>
      <c r="C311" s="65"/>
      <c r="D311" s="65"/>
      <c r="E311" s="13"/>
      <c r="F311" s="13"/>
      <c r="G311" s="104"/>
      <c r="H311" s="84"/>
      <c r="I311" s="12"/>
      <c r="J311" s="12"/>
      <c r="K311" s="12"/>
      <c r="L311" s="63"/>
      <c r="M311" s="25"/>
    </row>
    <row r="312" spans="2:13" x14ac:dyDescent="0.2">
      <c r="B312" s="56"/>
      <c r="C312" s="57"/>
      <c r="D312" s="57"/>
      <c r="E312" s="5"/>
      <c r="F312" s="5"/>
      <c r="G312" s="85" t="s">
        <v>61</v>
      </c>
      <c r="H312" s="107">
        <f>SUM(H245:H289)</f>
        <v>344</v>
      </c>
      <c r="I312" s="105">
        <f>SUM(I245:I287)</f>
        <v>110.08</v>
      </c>
      <c r="J312" s="106">
        <f>SUM(J245:J285)</f>
        <v>233.92000000000002</v>
      </c>
      <c r="K312" s="106">
        <f>SUM(K297:K310)</f>
        <v>12755</v>
      </c>
      <c r="L312" s="108"/>
      <c r="M312" s="25"/>
    </row>
    <row r="313" spans="2:13" ht="12.75" thickBot="1" x14ac:dyDescent="0.25">
      <c r="B313" s="71"/>
      <c r="C313" s="72"/>
      <c r="D313" s="72"/>
      <c r="E313" s="73"/>
      <c r="F313" s="73"/>
      <c r="G313" s="86" t="s">
        <v>13</v>
      </c>
      <c r="H313" s="100"/>
      <c r="I313" s="99"/>
      <c r="J313" s="87"/>
      <c r="K313" s="87"/>
      <c r="L313" s="88">
        <f>+J312-K312+L244</f>
        <v>93003.650000000023</v>
      </c>
      <c r="M313" s="25"/>
    </row>
    <row r="314" spans="2:13" x14ac:dyDescent="0.2">
      <c r="B314" s="25"/>
      <c r="H314" s="74"/>
      <c r="I314" s="25"/>
      <c r="L314" s="25"/>
      <c r="M314" s="25"/>
    </row>
    <row r="315" spans="2:13" ht="12" customHeight="1" x14ac:dyDescent="0.2">
      <c r="B315" s="544" t="s">
        <v>48</v>
      </c>
      <c r="C315" s="545"/>
      <c r="D315" s="545"/>
      <c r="E315" s="545"/>
      <c r="F315" s="545"/>
      <c r="G315" s="545"/>
      <c r="H315" s="545"/>
      <c r="I315" s="545"/>
      <c r="J315" s="545"/>
      <c r="K315" s="545"/>
      <c r="L315" s="546"/>
      <c r="M315" s="25"/>
    </row>
    <row r="316" spans="2:13" x14ac:dyDescent="0.2">
      <c r="B316" s="547" t="s">
        <v>592</v>
      </c>
      <c r="C316" s="548"/>
      <c r="D316" s="548"/>
      <c r="E316" s="548"/>
      <c r="F316" s="548"/>
      <c r="G316" s="548"/>
      <c r="H316" s="548"/>
      <c r="I316" s="548"/>
      <c r="J316" s="548"/>
      <c r="K316" s="548"/>
      <c r="L316" s="549"/>
      <c r="M316" s="25"/>
    </row>
    <row r="317" spans="2:13" x14ac:dyDescent="0.2">
      <c r="B317" s="550" t="s">
        <v>50</v>
      </c>
      <c r="C317" s="550"/>
      <c r="D317" s="551" t="s">
        <v>51</v>
      </c>
      <c r="E317" s="551"/>
      <c r="F317" s="551"/>
      <c r="G317" s="360"/>
      <c r="H317" s="360"/>
      <c r="I317" s="360"/>
      <c r="J317" s="360"/>
      <c r="K317" s="360"/>
      <c r="L317" s="361"/>
      <c r="M317" s="25"/>
    </row>
    <row r="318" spans="2:13" ht="24" x14ac:dyDescent="0.2">
      <c r="B318" s="56" t="s">
        <v>1</v>
      </c>
      <c r="C318" s="57" t="s">
        <v>2</v>
      </c>
      <c r="D318" s="57" t="s">
        <v>2</v>
      </c>
      <c r="E318" s="5" t="s">
        <v>3</v>
      </c>
      <c r="F318" s="5" t="s">
        <v>4</v>
      </c>
      <c r="G318" s="89" t="s">
        <v>6</v>
      </c>
      <c r="H318" s="83" t="s">
        <v>7</v>
      </c>
      <c r="I318" s="83" t="s">
        <v>52</v>
      </c>
      <c r="J318" s="83" t="s">
        <v>53</v>
      </c>
      <c r="K318" s="5" t="s">
        <v>10</v>
      </c>
      <c r="L318" s="5" t="s">
        <v>11</v>
      </c>
      <c r="M318" s="25"/>
    </row>
    <row r="319" spans="2:13" x14ac:dyDescent="0.2">
      <c r="B319" s="58"/>
      <c r="C319" s="59"/>
      <c r="D319" s="59"/>
      <c r="E319" s="13"/>
      <c r="F319" s="13"/>
      <c r="G319" s="24"/>
      <c r="H319" s="60"/>
      <c r="I319" s="61"/>
      <c r="J319" s="61"/>
      <c r="K319" s="61"/>
      <c r="L319" s="60">
        <f>L313</f>
        <v>93003.650000000023</v>
      </c>
      <c r="M319" s="25"/>
    </row>
    <row r="320" spans="2:13" x14ac:dyDescent="0.2">
      <c r="B320" s="110">
        <v>43964</v>
      </c>
      <c r="C320" s="353"/>
      <c r="D320" s="11"/>
      <c r="E320" s="15"/>
      <c r="F320" s="15"/>
      <c r="G320" s="15" t="s">
        <v>780</v>
      </c>
      <c r="H320" s="112">
        <v>144</v>
      </c>
      <c r="I320" s="12">
        <f>H320*0.32</f>
        <v>46.08</v>
      </c>
      <c r="J320" s="12">
        <f>H320*0.68</f>
        <v>97.92</v>
      </c>
      <c r="K320" s="12"/>
      <c r="L320" s="63">
        <f>+J320-K320+L319</f>
        <v>93101.570000000022</v>
      </c>
      <c r="M320" s="25"/>
    </row>
    <row r="321" spans="2:13" x14ac:dyDescent="0.2">
      <c r="B321" s="110">
        <v>43966</v>
      </c>
      <c r="C321" s="353"/>
      <c r="D321" s="11"/>
      <c r="E321" s="15"/>
      <c r="F321" s="15"/>
      <c r="G321" s="15" t="s">
        <v>781</v>
      </c>
      <c r="H321" s="112">
        <v>220</v>
      </c>
      <c r="I321" s="12">
        <f t="shared" ref="I321:I358" si="23">H321*0.32</f>
        <v>70.400000000000006</v>
      </c>
      <c r="J321" s="12">
        <f t="shared" ref="J321:J358" si="24">H321*0.68</f>
        <v>149.60000000000002</v>
      </c>
      <c r="K321" s="12"/>
      <c r="L321" s="63">
        <f>+J321-K321+L320</f>
        <v>93251.170000000027</v>
      </c>
      <c r="M321" s="25"/>
    </row>
    <row r="322" spans="2:13" x14ac:dyDescent="0.2">
      <c r="B322" s="110">
        <v>43967</v>
      </c>
      <c r="C322" s="353"/>
      <c r="D322" s="11"/>
      <c r="E322" s="15"/>
      <c r="F322" s="15"/>
      <c r="G322" s="15" t="s">
        <v>782</v>
      </c>
      <c r="H322" s="112">
        <v>440</v>
      </c>
      <c r="I322" s="12">
        <f t="shared" si="23"/>
        <v>140.80000000000001</v>
      </c>
      <c r="J322" s="12">
        <f t="shared" si="24"/>
        <v>299.20000000000005</v>
      </c>
      <c r="K322" s="12"/>
      <c r="L322" s="63">
        <f>+J322-K322+L321</f>
        <v>93550.370000000024</v>
      </c>
      <c r="M322" s="25"/>
    </row>
    <row r="323" spans="2:13" x14ac:dyDescent="0.2">
      <c r="B323" s="110">
        <v>43969</v>
      </c>
      <c r="C323" s="353"/>
      <c r="D323" s="77"/>
      <c r="E323" s="15"/>
      <c r="F323" s="15"/>
      <c r="G323" s="15" t="s">
        <v>783</v>
      </c>
      <c r="H323" s="112">
        <v>440</v>
      </c>
      <c r="I323" s="12">
        <f t="shared" si="23"/>
        <v>140.80000000000001</v>
      </c>
      <c r="J323" s="12">
        <f t="shared" si="24"/>
        <v>299.20000000000005</v>
      </c>
      <c r="K323" s="12"/>
      <c r="L323" s="63">
        <f>+J323-K323+L322</f>
        <v>93849.570000000022</v>
      </c>
      <c r="M323" s="25"/>
    </row>
    <row r="324" spans="2:13" x14ac:dyDescent="0.2">
      <c r="B324" s="110">
        <v>43976</v>
      </c>
      <c r="C324" s="353"/>
      <c r="D324" s="11"/>
      <c r="E324" s="15"/>
      <c r="F324" s="15"/>
      <c r="G324" s="15" t="s">
        <v>784</v>
      </c>
      <c r="H324" s="112">
        <v>220</v>
      </c>
      <c r="I324" s="12">
        <f t="shared" si="23"/>
        <v>70.400000000000006</v>
      </c>
      <c r="J324" s="12">
        <f t="shared" si="24"/>
        <v>149.60000000000002</v>
      </c>
      <c r="K324" s="12"/>
      <c r="L324" s="63">
        <f t="shared" ref="L324:L374" si="25">+J324-K324+L323</f>
        <v>93999.170000000027</v>
      </c>
      <c r="M324" s="25"/>
    </row>
    <row r="325" spans="2:13" x14ac:dyDescent="0.2">
      <c r="B325" s="110"/>
      <c r="C325" s="353"/>
      <c r="D325" s="11"/>
      <c r="E325" s="15"/>
      <c r="F325" s="15"/>
      <c r="G325" s="15"/>
      <c r="H325" s="112"/>
      <c r="I325" s="12">
        <f t="shared" si="23"/>
        <v>0</v>
      </c>
      <c r="J325" s="12">
        <f t="shared" si="24"/>
        <v>0</v>
      </c>
      <c r="K325" s="12"/>
      <c r="L325" s="63">
        <f t="shared" si="25"/>
        <v>93999.170000000027</v>
      </c>
      <c r="M325" s="25"/>
    </row>
    <row r="326" spans="2:13" x14ac:dyDescent="0.2">
      <c r="B326" s="110"/>
      <c r="C326" s="353"/>
      <c r="D326" s="11"/>
      <c r="E326" s="15"/>
      <c r="F326" s="15"/>
      <c r="G326" s="15"/>
      <c r="H326" s="112"/>
      <c r="I326" s="12">
        <f t="shared" si="23"/>
        <v>0</v>
      </c>
      <c r="J326" s="12">
        <f t="shared" si="24"/>
        <v>0</v>
      </c>
      <c r="K326" s="12"/>
      <c r="L326" s="63">
        <f t="shared" si="25"/>
        <v>93999.170000000027</v>
      </c>
      <c r="M326" s="25"/>
    </row>
    <row r="327" spans="2:13" x14ac:dyDescent="0.2">
      <c r="B327" s="427">
        <v>43958</v>
      </c>
      <c r="C327" s="435" t="s">
        <v>791</v>
      </c>
      <c r="D327" s="439"/>
      <c r="E327" s="436"/>
      <c r="F327" s="436"/>
      <c r="G327" s="436"/>
      <c r="H327" s="437">
        <v>164</v>
      </c>
      <c r="I327" s="12">
        <f t="shared" si="23"/>
        <v>52.480000000000004</v>
      </c>
      <c r="J327" s="12">
        <f t="shared" si="24"/>
        <v>111.52000000000001</v>
      </c>
      <c r="K327" s="12"/>
      <c r="L327" s="63">
        <f t="shared" si="25"/>
        <v>94110.690000000031</v>
      </c>
      <c r="M327" s="25"/>
    </row>
    <row r="328" spans="2:13" x14ac:dyDescent="0.2">
      <c r="B328" s="427">
        <v>43959</v>
      </c>
      <c r="C328" s="435" t="s">
        <v>791</v>
      </c>
      <c r="D328" s="439"/>
      <c r="E328" s="436"/>
      <c r="F328" s="436"/>
      <c r="G328" s="436"/>
      <c r="H328" s="437">
        <v>145</v>
      </c>
      <c r="I328" s="12">
        <f t="shared" si="23"/>
        <v>46.4</v>
      </c>
      <c r="J328" s="12">
        <f t="shared" si="24"/>
        <v>98.600000000000009</v>
      </c>
      <c r="K328" s="12"/>
      <c r="L328" s="63">
        <f t="shared" si="25"/>
        <v>94209.290000000037</v>
      </c>
      <c r="M328" s="25"/>
    </row>
    <row r="329" spans="2:13" x14ac:dyDescent="0.2">
      <c r="B329" s="427">
        <v>43964</v>
      </c>
      <c r="C329" s="435" t="s">
        <v>791</v>
      </c>
      <c r="D329" s="431"/>
      <c r="E329" s="432"/>
      <c r="F329" s="436"/>
      <c r="G329" s="436"/>
      <c r="H329" s="437">
        <v>200</v>
      </c>
      <c r="I329" s="12">
        <f t="shared" si="23"/>
        <v>64</v>
      </c>
      <c r="J329" s="12">
        <f t="shared" si="24"/>
        <v>136</v>
      </c>
      <c r="K329" s="12"/>
      <c r="L329" s="63">
        <f t="shared" si="25"/>
        <v>94345.290000000037</v>
      </c>
      <c r="M329" s="25"/>
    </row>
    <row r="330" spans="2:13" x14ac:dyDescent="0.2">
      <c r="B330" s="427">
        <v>43971</v>
      </c>
      <c r="C330" s="435" t="s">
        <v>791</v>
      </c>
      <c r="D330" s="431"/>
      <c r="E330" s="432"/>
      <c r="F330" s="436"/>
      <c r="G330" s="436"/>
      <c r="H330" s="437">
        <v>220</v>
      </c>
      <c r="I330" s="12">
        <f t="shared" si="23"/>
        <v>70.400000000000006</v>
      </c>
      <c r="J330" s="12">
        <f t="shared" si="24"/>
        <v>149.60000000000002</v>
      </c>
      <c r="K330" s="12"/>
      <c r="L330" s="63">
        <f t="shared" si="25"/>
        <v>94494.890000000043</v>
      </c>
      <c r="M330" s="25"/>
    </row>
    <row r="331" spans="2:13" x14ac:dyDescent="0.2">
      <c r="B331" s="427">
        <v>43972</v>
      </c>
      <c r="C331" s="435" t="s">
        <v>791</v>
      </c>
      <c r="D331" s="431"/>
      <c r="E331" s="432"/>
      <c r="F331" s="436"/>
      <c r="G331" s="436"/>
      <c r="H331" s="437">
        <v>990</v>
      </c>
      <c r="I331" s="12">
        <f t="shared" si="23"/>
        <v>316.8</v>
      </c>
      <c r="J331" s="12">
        <f t="shared" si="24"/>
        <v>673.2</v>
      </c>
      <c r="K331" s="12"/>
      <c r="L331" s="63">
        <f t="shared" si="25"/>
        <v>95168.09000000004</v>
      </c>
      <c r="M331" s="25"/>
    </row>
    <row r="332" spans="2:13" x14ac:dyDescent="0.2">
      <c r="B332" s="427">
        <v>43973</v>
      </c>
      <c r="C332" s="435" t="s">
        <v>791</v>
      </c>
      <c r="D332" s="431"/>
      <c r="E332" s="432"/>
      <c r="F332" s="436"/>
      <c r="G332" s="436"/>
      <c r="H332" s="437">
        <v>220</v>
      </c>
      <c r="I332" s="12">
        <f t="shared" si="23"/>
        <v>70.400000000000006</v>
      </c>
      <c r="J332" s="12">
        <f t="shared" si="24"/>
        <v>149.60000000000002</v>
      </c>
      <c r="K332" s="12"/>
      <c r="L332" s="63">
        <f t="shared" si="25"/>
        <v>95317.690000000046</v>
      </c>
      <c r="M332" s="25"/>
    </row>
    <row r="333" spans="2:13" x14ac:dyDescent="0.2">
      <c r="B333" s="427">
        <v>43976</v>
      </c>
      <c r="C333" s="435" t="s">
        <v>791</v>
      </c>
      <c r="D333" s="431"/>
      <c r="E333" s="432"/>
      <c r="F333" s="436"/>
      <c r="G333" s="436"/>
      <c r="H333" s="437">
        <v>584</v>
      </c>
      <c r="I333" s="12">
        <f t="shared" si="23"/>
        <v>186.88</v>
      </c>
      <c r="J333" s="12">
        <f t="shared" si="24"/>
        <v>397.12</v>
      </c>
      <c r="K333" s="12"/>
      <c r="L333" s="63">
        <f t="shared" si="25"/>
        <v>95714.810000000041</v>
      </c>
      <c r="M333" s="25"/>
    </row>
    <row r="334" spans="2:13" x14ac:dyDescent="0.2">
      <c r="B334" s="427">
        <v>43978</v>
      </c>
      <c r="C334" s="435" t="s">
        <v>791</v>
      </c>
      <c r="D334" s="431"/>
      <c r="E334" s="432"/>
      <c r="F334" s="436"/>
      <c r="G334" s="436"/>
      <c r="H334" s="437">
        <v>220</v>
      </c>
      <c r="I334" s="12">
        <f t="shared" si="23"/>
        <v>70.400000000000006</v>
      </c>
      <c r="J334" s="12">
        <f t="shared" si="24"/>
        <v>149.60000000000002</v>
      </c>
      <c r="K334" s="12"/>
      <c r="L334" s="63">
        <f t="shared" si="25"/>
        <v>95864.410000000047</v>
      </c>
      <c r="M334" s="25"/>
    </row>
    <row r="335" spans="2:13" x14ac:dyDescent="0.2">
      <c r="B335" s="427">
        <v>43980</v>
      </c>
      <c r="C335" s="435" t="s">
        <v>791</v>
      </c>
      <c r="D335" s="431"/>
      <c r="E335" s="432"/>
      <c r="F335" s="436"/>
      <c r="G335" s="436"/>
      <c r="H335" s="437">
        <v>220</v>
      </c>
      <c r="I335" s="12">
        <f t="shared" si="23"/>
        <v>70.400000000000006</v>
      </c>
      <c r="J335" s="12">
        <f t="shared" si="24"/>
        <v>149.60000000000002</v>
      </c>
      <c r="K335" s="12"/>
      <c r="L335" s="63">
        <f t="shared" si="25"/>
        <v>96014.010000000053</v>
      </c>
      <c r="M335" s="25"/>
    </row>
    <row r="336" spans="2:13" x14ac:dyDescent="0.2">
      <c r="B336" s="427">
        <v>43981</v>
      </c>
      <c r="C336" s="435" t="s">
        <v>791</v>
      </c>
      <c r="D336" s="431"/>
      <c r="E336" s="432"/>
      <c r="F336" s="436"/>
      <c r="G336" s="436"/>
      <c r="H336" s="437">
        <v>660</v>
      </c>
      <c r="I336" s="12">
        <f t="shared" si="23"/>
        <v>211.20000000000002</v>
      </c>
      <c r="J336" s="12">
        <f t="shared" si="24"/>
        <v>448.8</v>
      </c>
      <c r="K336" s="12"/>
      <c r="L336" s="63">
        <f t="shared" si="25"/>
        <v>96462.810000000056</v>
      </c>
      <c r="M336" s="25"/>
    </row>
    <row r="337" spans="2:13" x14ac:dyDescent="0.2">
      <c r="B337" s="110"/>
      <c r="C337" s="353"/>
      <c r="D337" s="65"/>
      <c r="E337" s="13"/>
      <c r="F337" s="15"/>
      <c r="G337" s="15"/>
      <c r="H337" s="112"/>
      <c r="I337" s="12">
        <f t="shared" si="23"/>
        <v>0</v>
      </c>
      <c r="J337" s="12">
        <f t="shared" si="24"/>
        <v>0</v>
      </c>
      <c r="K337" s="12"/>
      <c r="L337" s="63">
        <f t="shared" si="25"/>
        <v>96462.810000000056</v>
      </c>
      <c r="M337" s="25"/>
    </row>
    <row r="338" spans="2:13" x14ac:dyDescent="0.2">
      <c r="B338" s="110"/>
      <c r="C338" s="353"/>
      <c r="D338" s="65"/>
      <c r="E338" s="13"/>
      <c r="F338" s="15"/>
      <c r="G338" s="15"/>
      <c r="H338" s="112"/>
      <c r="I338" s="12">
        <f t="shared" si="23"/>
        <v>0</v>
      </c>
      <c r="J338" s="12">
        <f t="shared" si="24"/>
        <v>0</v>
      </c>
      <c r="K338" s="12"/>
      <c r="L338" s="63">
        <f t="shared" si="25"/>
        <v>96462.810000000056</v>
      </c>
      <c r="M338" s="25"/>
    </row>
    <row r="339" spans="2:13" x14ac:dyDescent="0.2">
      <c r="B339" s="110">
        <v>43980</v>
      </c>
      <c r="C339" s="353" t="s">
        <v>847</v>
      </c>
      <c r="D339" s="65" t="s">
        <v>35</v>
      </c>
      <c r="E339" s="13"/>
      <c r="F339" s="15"/>
      <c r="G339" s="15"/>
      <c r="H339" s="112">
        <v>144</v>
      </c>
      <c r="I339" s="12">
        <f t="shared" si="23"/>
        <v>46.08</v>
      </c>
      <c r="J339" s="12">
        <f t="shared" si="24"/>
        <v>97.92</v>
      </c>
      <c r="K339" s="12"/>
      <c r="L339" s="63">
        <f t="shared" si="25"/>
        <v>96560.730000000054</v>
      </c>
      <c r="M339" s="25"/>
    </row>
    <row r="340" spans="2:13" x14ac:dyDescent="0.2">
      <c r="B340" s="110"/>
      <c r="C340" s="353"/>
      <c r="D340" s="65"/>
      <c r="E340" s="13"/>
      <c r="F340" s="15"/>
      <c r="G340" s="15"/>
      <c r="H340" s="112"/>
      <c r="I340" s="12">
        <f t="shared" si="23"/>
        <v>0</v>
      </c>
      <c r="J340" s="12">
        <f t="shared" si="24"/>
        <v>0</v>
      </c>
      <c r="K340" s="12"/>
      <c r="L340" s="63">
        <f t="shared" si="25"/>
        <v>96560.730000000054</v>
      </c>
      <c r="M340" s="25"/>
    </row>
    <row r="341" spans="2:13" x14ac:dyDescent="0.2">
      <c r="B341" s="110"/>
      <c r="C341" s="353"/>
      <c r="D341" s="65"/>
      <c r="E341" s="13"/>
      <c r="F341" s="15"/>
      <c r="G341" s="15"/>
      <c r="H341" s="112"/>
      <c r="I341" s="12">
        <f t="shared" si="23"/>
        <v>0</v>
      </c>
      <c r="J341" s="12">
        <f t="shared" si="24"/>
        <v>0</v>
      </c>
      <c r="K341" s="12"/>
      <c r="L341" s="63">
        <f t="shared" si="25"/>
        <v>96560.730000000054</v>
      </c>
      <c r="M341" s="25"/>
    </row>
    <row r="342" spans="2:13" x14ac:dyDescent="0.2">
      <c r="B342" s="110"/>
      <c r="C342" s="353"/>
      <c r="D342" s="65"/>
      <c r="E342" s="13"/>
      <c r="F342" s="15"/>
      <c r="G342" s="15"/>
      <c r="H342" s="112"/>
      <c r="I342" s="12">
        <f t="shared" si="23"/>
        <v>0</v>
      </c>
      <c r="J342" s="12">
        <f t="shared" si="24"/>
        <v>0</v>
      </c>
      <c r="K342" s="12"/>
      <c r="L342" s="63">
        <f t="shared" si="25"/>
        <v>96560.730000000054</v>
      </c>
      <c r="M342" s="25"/>
    </row>
    <row r="343" spans="2:13" x14ac:dyDescent="0.2">
      <c r="B343" s="110"/>
      <c r="C343" s="353"/>
      <c r="D343" s="65"/>
      <c r="E343" s="13"/>
      <c r="F343" s="15"/>
      <c r="G343" s="15"/>
      <c r="H343" s="112"/>
      <c r="I343" s="12">
        <f t="shared" si="23"/>
        <v>0</v>
      </c>
      <c r="J343" s="12">
        <f t="shared" si="24"/>
        <v>0</v>
      </c>
      <c r="K343" s="12"/>
      <c r="L343" s="63">
        <f t="shared" si="25"/>
        <v>96560.730000000054</v>
      </c>
      <c r="M343" s="25"/>
    </row>
    <row r="344" spans="2:13" x14ac:dyDescent="0.2">
      <c r="B344" s="110"/>
      <c r="C344" s="353"/>
      <c r="D344" s="65"/>
      <c r="E344" s="13"/>
      <c r="F344" s="15"/>
      <c r="G344" s="15"/>
      <c r="H344" s="112"/>
      <c r="I344" s="12">
        <f t="shared" si="23"/>
        <v>0</v>
      </c>
      <c r="J344" s="12">
        <f t="shared" si="24"/>
        <v>0</v>
      </c>
      <c r="K344" s="12"/>
      <c r="L344" s="63">
        <f t="shared" si="25"/>
        <v>96560.730000000054</v>
      </c>
      <c r="M344" s="25"/>
    </row>
    <row r="345" spans="2:13" x14ac:dyDescent="0.2">
      <c r="B345" s="110"/>
      <c r="C345" s="353"/>
      <c r="D345" s="65"/>
      <c r="E345" s="13"/>
      <c r="F345" s="15"/>
      <c r="G345" s="15"/>
      <c r="H345" s="112"/>
      <c r="I345" s="12">
        <f t="shared" si="23"/>
        <v>0</v>
      </c>
      <c r="J345" s="12">
        <f t="shared" si="24"/>
        <v>0</v>
      </c>
      <c r="K345" s="12"/>
      <c r="L345" s="63">
        <f t="shared" si="25"/>
        <v>96560.730000000054</v>
      </c>
      <c r="M345" s="25"/>
    </row>
    <row r="346" spans="2:13" x14ac:dyDescent="0.2">
      <c r="B346" s="110"/>
      <c r="C346" s="353"/>
      <c r="D346" s="65"/>
      <c r="E346" s="13"/>
      <c r="F346" s="15"/>
      <c r="G346" s="15"/>
      <c r="H346" s="112"/>
      <c r="I346" s="12">
        <f t="shared" si="23"/>
        <v>0</v>
      </c>
      <c r="J346" s="12">
        <f t="shared" si="24"/>
        <v>0</v>
      </c>
      <c r="K346" s="12"/>
      <c r="L346" s="63">
        <f t="shared" si="25"/>
        <v>96560.730000000054</v>
      </c>
      <c r="M346" s="25"/>
    </row>
    <row r="347" spans="2:13" x14ac:dyDescent="0.2">
      <c r="B347" s="110"/>
      <c r="C347" s="353"/>
      <c r="D347" s="65"/>
      <c r="E347" s="13"/>
      <c r="F347" s="15"/>
      <c r="G347" s="15"/>
      <c r="H347" s="112"/>
      <c r="I347" s="12">
        <f t="shared" si="23"/>
        <v>0</v>
      </c>
      <c r="J347" s="12">
        <f t="shared" si="24"/>
        <v>0</v>
      </c>
      <c r="K347" s="12"/>
      <c r="L347" s="63">
        <f t="shared" si="25"/>
        <v>96560.730000000054</v>
      </c>
      <c r="M347" s="25"/>
    </row>
    <row r="348" spans="2:13" x14ac:dyDescent="0.2">
      <c r="B348" s="110"/>
      <c r="C348" s="353"/>
      <c r="D348" s="65"/>
      <c r="E348" s="13"/>
      <c r="F348" s="15"/>
      <c r="G348" s="15"/>
      <c r="H348" s="112"/>
      <c r="I348" s="12">
        <f t="shared" si="23"/>
        <v>0</v>
      </c>
      <c r="J348" s="12">
        <f t="shared" si="24"/>
        <v>0</v>
      </c>
      <c r="K348" s="12"/>
      <c r="L348" s="63">
        <f t="shared" si="25"/>
        <v>96560.730000000054</v>
      </c>
      <c r="M348" s="25"/>
    </row>
    <row r="349" spans="2:13" x14ac:dyDescent="0.2">
      <c r="B349" s="110"/>
      <c r="C349" s="353"/>
      <c r="D349" s="65"/>
      <c r="E349" s="13"/>
      <c r="F349" s="15"/>
      <c r="G349" s="15"/>
      <c r="H349" s="112"/>
      <c r="I349" s="12">
        <f t="shared" si="23"/>
        <v>0</v>
      </c>
      <c r="J349" s="12">
        <f t="shared" si="24"/>
        <v>0</v>
      </c>
      <c r="K349" s="12"/>
      <c r="L349" s="63">
        <f t="shared" si="25"/>
        <v>96560.730000000054</v>
      </c>
      <c r="M349" s="25"/>
    </row>
    <row r="350" spans="2:13" x14ac:dyDescent="0.2">
      <c r="B350" s="110"/>
      <c r="C350" s="353"/>
      <c r="D350" s="65"/>
      <c r="E350" s="13"/>
      <c r="F350" s="15"/>
      <c r="G350" s="15"/>
      <c r="H350" s="112"/>
      <c r="I350" s="12">
        <f t="shared" si="23"/>
        <v>0</v>
      </c>
      <c r="J350" s="12">
        <f t="shared" si="24"/>
        <v>0</v>
      </c>
      <c r="K350" s="12"/>
      <c r="L350" s="63">
        <f t="shared" si="25"/>
        <v>96560.730000000054</v>
      </c>
      <c r="M350" s="25"/>
    </row>
    <row r="351" spans="2:13" x14ac:dyDescent="0.2">
      <c r="B351" s="110"/>
      <c r="C351" s="353"/>
      <c r="D351" s="65"/>
      <c r="E351" s="13"/>
      <c r="F351" s="15"/>
      <c r="G351" s="15"/>
      <c r="H351" s="112"/>
      <c r="I351" s="12">
        <f t="shared" si="23"/>
        <v>0</v>
      </c>
      <c r="J351" s="12">
        <f t="shared" si="24"/>
        <v>0</v>
      </c>
      <c r="K351" s="12"/>
      <c r="L351" s="63">
        <f t="shared" si="25"/>
        <v>96560.730000000054</v>
      </c>
      <c r="M351" s="25"/>
    </row>
    <row r="352" spans="2:13" x14ac:dyDescent="0.2">
      <c r="B352" s="110"/>
      <c r="C352" s="353"/>
      <c r="D352" s="65"/>
      <c r="E352" s="13"/>
      <c r="F352" s="15"/>
      <c r="G352" s="15"/>
      <c r="H352" s="112"/>
      <c r="I352" s="12">
        <f t="shared" si="23"/>
        <v>0</v>
      </c>
      <c r="J352" s="12">
        <f t="shared" si="24"/>
        <v>0</v>
      </c>
      <c r="K352" s="12"/>
      <c r="L352" s="63">
        <f t="shared" si="25"/>
        <v>96560.730000000054</v>
      </c>
      <c r="M352" s="25"/>
    </row>
    <row r="353" spans="2:13" x14ac:dyDescent="0.2">
      <c r="B353" s="110"/>
      <c r="C353" s="353"/>
      <c r="D353" s="65"/>
      <c r="E353" s="13"/>
      <c r="F353" s="15"/>
      <c r="G353" s="15"/>
      <c r="H353" s="112"/>
      <c r="I353" s="12">
        <f t="shared" si="23"/>
        <v>0</v>
      </c>
      <c r="J353" s="12">
        <f t="shared" si="24"/>
        <v>0</v>
      </c>
      <c r="K353" s="12"/>
      <c r="L353" s="63">
        <f t="shared" si="25"/>
        <v>96560.730000000054</v>
      </c>
      <c r="M353" s="25"/>
    </row>
    <row r="354" spans="2:13" x14ac:dyDescent="0.2">
      <c r="B354" s="110"/>
      <c r="C354" s="353"/>
      <c r="D354" s="65"/>
      <c r="E354" s="13"/>
      <c r="F354" s="15"/>
      <c r="G354" s="15"/>
      <c r="H354" s="112"/>
      <c r="I354" s="12">
        <f t="shared" si="23"/>
        <v>0</v>
      </c>
      <c r="J354" s="12">
        <f t="shared" si="24"/>
        <v>0</v>
      </c>
      <c r="K354" s="12"/>
      <c r="L354" s="63">
        <f t="shared" si="25"/>
        <v>96560.730000000054</v>
      </c>
      <c r="M354" s="25"/>
    </row>
    <row r="355" spans="2:13" x14ac:dyDescent="0.2">
      <c r="B355" s="110"/>
      <c r="C355" s="353"/>
      <c r="D355" s="65"/>
      <c r="E355" s="13"/>
      <c r="F355" s="15"/>
      <c r="G355" s="15"/>
      <c r="H355" s="112"/>
      <c r="I355" s="12">
        <f t="shared" si="23"/>
        <v>0</v>
      </c>
      <c r="J355" s="12">
        <f t="shared" si="24"/>
        <v>0</v>
      </c>
      <c r="K355" s="12"/>
      <c r="L355" s="63">
        <f t="shared" si="25"/>
        <v>96560.730000000054</v>
      </c>
      <c r="M355" s="25"/>
    </row>
    <row r="356" spans="2:13" x14ac:dyDescent="0.2">
      <c r="B356" s="110"/>
      <c r="C356" s="353"/>
      <c r="D356" s="65"/>
      <c r="E356" s="13"/>
      <c r="F356" s="15"/>
      <c r="G356" s="15"/>
      <c r="H356" s="112"/>
      <c r="I356" s="12">
        <f t="shared" si="23"/>
        <v>0</v>
      </c>
      <c r="J356" s="12">
        <f t="shared" si="24"/>
        <v>0</v>
      </c>
      <c r="K356" s="12"/>
      <c r="L356" s="63">
        <f t="shared" si="25"/>
        <v>96560.730000000054</v>
      </c>
      <c r="M356" s="25"/>
    </row>
    <row r="357" spans="2:13" x14ac:dyDescent="0.2">
      <c r="B357" s="110"/>
      <c r="C357" s="353"/>
      <c r="D357" s="65"/>
      <c r="E357" s="13"/>
      <c r="F357" s="15"/>
      <c r="G357" s="15"/>
      <c r="H357" s="112"/>
      <c r="I357" s="12">
        <f t="shared" si="23"/>
        <v>0</v>
      </c>
      <c r="J357" s="12">
        <f t="shared" si="24"/>
        <v>0</v>
      </c>
      <c r="K357" s="12"/>
      <c r="L357" s="63">
        <f t="shared" si="25"/>
        <v>96560.730000000054</v>
      </c>
      <c r="M357" s="25"/>
    </row>
    <row r="358" spans="2:13" x14ac:dyDescent="0.2">
      <c r="B358" s="110"/>
      <c r="C358" s="353"/>
      <c r="D358" s="65"/>
      <c r="E358" s="13"/>
      <c r="F358" s="15"/>
      <c r="G358" s="15"/>
      <c r="H358" s="112"/>
      <c r="I358" s="12">
        <f t="shared" si="23"/>
        <v>0</v>
      </c>
      <c r="J358" s="12">
        <f t="shared" si="24"/>
        <v>0</v>
      </c>
      <c r="K358" s="12"/>
      <c r="L358" s="63">
        <f t="shared" si="25"/>
        <v>96560.730000000054</v>
      </c>
      <c r="M358" s="25"/>
    </row>
    <row r="359" spans="2:13" x14ac:dyDescent="0.2">
      <c r="B359" s="110"/>
      <c r="C359" s="353"/>
      <c r="D359" s="65"/>
      <c r="E359" s="13"/>
      <c r="F359" s="15"/>
      <c r="G359" s="15"/>
      <c r="H359" s="112"/>
      <c r="I359" s="12"/>
      <c r="J359" s="12"/>
      <c r="K359" s="12"/>
      <c r="L359" s="63">
        <f t="shared" si="25"/>
        <v>96560.730000000054</v>
      </c>
      <c r="M359" s="25"/>
    </row>
    <row r="360" spans="2:13" x14ac:dyDescent="0.2">
      <c r="B360" s="110"/>
      <c r="C360" s="65"/>
      <c r="D360" s="65"/>
      <c r="E360" s="13"/>
      <c r="F360" s="15"/>
      <c r="G360" s="66"/>
      <c r="H360" s="112"/>
      <c r="I360" s="12"/>
      <c r="J360" s="12"/>
      <c r="K360" s="12"/>
      <c r="L360" s="63">
        <f t="shared" si="25"/>
        <v>96560.730000000054</v>
      </c>
      <c r="M360" s="25"/>
    </row>
    <row r="361" spans="2:13" x14ac:dyDescent="0.2">
      <c r="B361" s="547" t="s">
        <v>256</v>
      </c>
      <c r="C361" s="548"/>
      <c r="D361" s="548"/>
      <c r="E361" s="548"/>
      <c r="F361" s="548"/>
      <c r="G361" s="548"/>
      <c r="H361" s="548"/>
      <c r="I361" s="548"/>
      <c r="J361" s="548"/>
      <c r="K361" s="549"/>
      <c r="L361" s="63">
        <f t="shared" si="25"/>
        <v>96560.730000000054</v>
      </c>
      <c r="M361" s="25"/>
    </row>
    <row r="362" spans="2:13" x14ac:dyDescent="0.2">
      <c r="B362" s="552" t="s">
        <v>56</v>
      </c>
      <c r="C362" s="553"/>
      <c r="D362" s="554" t="s">
        <v>51</v>
      </c>
      <c r="E362" s="554"/>
      <c r="F362" s="554"/>
      <c r="G362" s="94"/>
      <c r="H362" s="95"/>
      <c r="I362" s="96"/>
      <c r="J362" s="96"/>
      <c r="K362" s="97"/>
      <c r="L362" s="63">
        <f t="shared" si="25"/>
        <v>96560.730000000054</v>
      </c>
      <c r="M362" s="25"/>
    </row>
    <row r="363" spans="2:13" x14ac:dyDescent="0.2">
      <c r="B363" s="91" t="s">
        <v>1</v>
      </c>
      <c r="C363" s="92" t="s">
        <v>57</v>
      </c>
      <c r="D363" s="92" t="s">
        <v>2</v>
      </c>
      <c r="E363" s="362" t="s">
        <v>3</v>
      </c>
      <c r="F363" s="362" t="s">
        <v>4</v>
      </c>
      <c r="G363" s="561" t="s">
        <v>58</v>
      </c>
      <c r="H363" s="562"/>
      <c r="I363" s="562"/>
      <c r="J363" s="563"/>
      <c r="K363" s="90"/>
      <c r="L363" s="63">
        <f t="shared" si="25"/>
        <v>96560.730000000054</v>
      </c>
      <c r="M363" s="25"/>
    </row>
    <row r="364" spans="2:13" ht="24.75" customHeight="1" x14ac:dyDescent="0.2">
      <c r="B364" s="64"/>
      <c r="C364" s="349"/>
      <c r="D364" s="349"/>
      <c r="E364" s="3"/>
      <c r="F364" s="16"/>
      <c r="G364" s="571" t="s">
        <v>785</v>
      </c>
      <c r="H364" s="572"/>
      <c r="I364" s="573"/>
      <c r="J364" s="349"/>
      <c r="K364" s="70"/>
      <c r="L364" s="63">
        <f t="shared" si="25"/>
        <v>96560.730000000054</v>
      </c>
      <c r="M364" s="25"/>
    </row>
    <row r="365" spans="2:13" x14ac:dyDescent="0.2">
      <c r="B365" s="10"/>
      <c r="C365" s="77"/>
      <c r="D365" s="77"/>
      <c r="E365" s="3"/>
      <c r="F365" s="16"/>
      <c r="G365" s="81"/>
      <c r="H365" s="568" t="s">
        <v>577</v>
      </c>
      <c r="I365" s="570"/>
      <c r="J365" s="349"/>
      <c r="K365" s="70">
        <v>1200</v>
      </c>
      <c r="L365" s="63">
        <f t="shared" si="25"/>
        <v>95360.730000000054</v>
      </c>
      <c r="M365" s="25"/>
    </row>
    <row r="366" spans="2:13" x14ac:dyDescent="0.2">
      <c r="B366" s="64"/>
      <c r="C366" s="77"/>
      <c r="D366" s="78"/>
      <c r="E366" s="3"/>
      <c r="F366" s="16"/>
      <c r="G366" s="81"/>
      <c r="H366" s="568" t="s">
        <v>579</v>
      </c>
      <c r="I366" s="570"/>
      <c r="J366" s="12"/>
      <c r="K366" s="12">
        <v>700</v>
      </c>
      <c r="L366" s="63">
        <f t="shared" si="25"/>
        <v>94660.730000000054</v>
      </c>
      <c r="M366" s="25"/>
    </row>
    <row r="367" spans="2:13" x14ac:dyDescent="0.2">
      <c r="B367" s="64"/>
      <c r="C367" s="78"/>
      <c r="D367" s="78"/>
      <c r="E367" s="3"/>
      <c r="F367" s="16"/>
      <c r="G367" s="69"/>
      <c r="H367" s="568"/>
      <c r="I367" s="570"/>
      <c r="J367" s="12"/>
      <c r="K367" s="12"/>
      <c r="L367" s="63">
        <f t="shared" si="25"/>
        <v>94660.730000000054</v>
      </c>
      <c r="M367" s="25"/>
    </row>
    <row r="368" spans="2:13" ht="37.5" customHeight="1" x14ac:dyDescent="0.2">
      <c r="B368" s="64"/>
      <c r="C368" s="77"/>
      <c r="D368" s="78"/>
      <c r="E368" s="3"/>
      <c r="F368" s="16"/>
      <c r="G368" s="574"/>
      <c r="H368" s="575"/>
      <c r="I368" s="576"/>
      <c r="J368" s="12"/>
      <c r="K368" s="12"/>
      <c r="L368" s="63">
        <f t="shared" si="25"/>
        <v>94660.730000000054</v>
      </c>
      <c r="M368" s="25"/>
    </row>
    <row r="369" spans="2:13" x14ac:dyDescent="0.2">
      <c r="B369" s="64"/>
      <c r="C369" s="77"/>
      <c r="D369" s="78"/>
      <c r="E369" s="3"/>
      <c r="F369" s="16"/>
      <c r="G369" s="574"/>
      <c r="H369" s="575"/>
      <c r="I369" s="576"/>
      <c r="J369" s="12"/>
      <c r="K369" s="12"/>
      <c r="L369" s="63">
        <f t="shared" si="25"/>
        <v>94660.730000000054</v>
      </c>
      <c r="M369" s="25"/>
    </row>
    <row r="370" spans="2:13" x14ac:dyDescent="0.2">
      <c r="B370" s="64"/>
      <c r="C370" s="78"/>
      <c r="D370" s="78"/>
      <c r="E370" s="3"/>
      <c r="F370" s="16"/>
      <c r="G370" s="81"/>
      <c r="H370" s="62"/>
      <c r="I370" s="12"/>
      <c r="J370" s="12"/>
      <c r="K370" s="12"/>
      <c r="L370" s="63">
        <f t="shared" si="25"/>
        <v>94660.730000000054</v>
      </c>
      <c r="M370" s="25"/>
    </row>
    <row r="371" spans="2:13" x14ac:dyDescent="0.2">
      <c r="B371" s="64"/>
      <c r="C371" s="78"/>
      <c r="D371" s="78"/>
      <c r="E371" s="3"/>
      <c r="F371" s="16"/>
      <c r="G371" s="81"/>
      <c r="H371" s="62"/>
      <c r="I371" s="12"/>
      <c r="J371" s="12"/>
      <c r="K371" s="12"/>
      <c r="L371" s="63">
        <f t="shared" si="25"/>
        <v>94660.730000000054</v>
      </c>
      <c r="M371" s="25"/>
    </row>
    <row r="372" spans="2:13" x14ac:dyDescent="0.2">
      <c r="B372" s="64"/>
      <c r="C372" s="78"/>
      <c r="D372" s="78"/>
      <c r="E372" s="3"/>
      <c r="F372" s="16"/>
      <c r="G372" s="81"/>
      <c r="H372" s="62"/>
      <c r="I372" s="12"/>
      <c r="J372" s="12"/>
      <c r="K372" s="12"/>
      <c r="L372" s="63">
        <f t="shared" si="25"/>
        <v>94660.730000000054</v>
      </c>
      <c r="M372" s="25"/>
    </row>
    <row r="373" spans="2:13" x14ac:dyDescent="0.2">
      <c r="B373" s="64"/>
      <c r="C373" s="78"/>
      <c r="D373" s="78"/>
      <c r="E373" s="3"/>
      <c r="F373" s="16"/>
      <c r="G373" s="81"/>
      <c r="H373" s="62"/>
      <c r="I373" s="12"/>
      <c r="J373" s="12"/>
      <c r="K373" s="12"/>
      <c r="L373" s="63">
        <f t="shared" si="25"/>
        <v>94660.730000000054</v>
      </c>
      <c r="M373" s="25"/>
    </row>
    <row r="374" spans="2:13" x14ac:dyDescent="0.2">
      <c r="B374" s="64"/>
      <c r="C374" s="78"/>
      <c r="D374" s="78"/>
      <c r="E374" s="3"/>
      <c r="F374" s="16"/>
      <c r="G374" s="81"/>
      <c r="H374" s="62"/>
      <c r="I374" s="12"/>
      <c r="J374" s="12"/>
      <c r="K374" s="12"/>
      <c r="L374" s="63">
        <f t="shared" si="25"/>
        <v>94660.730000000054</v>
      </c>
      <c r="M374" s="25"/>
    </row>
    <row r="375" spans="2:13" ht="12.75" thickBot="1" x14ac:dyDescent="0.25">
      <c r="B375" s="64"/>
      <c r="C375" s="65"/>
      <c r="D375" s="65"/>
      <c r="E375" s="13"/>
      <c r="F375" s="13"/>
      <c r="G375" s="104"/>
      <c r="H375" s="84"/>
      <c r="I375" s="12"/>
      <c r="J375" s="12"/>
      <c r="K375" s="12"/>
      <c r="L375" s="63"/>
      <c r="M375" s="25"/>
    </row>
    <row r="376" spans="2:13" x14ac:dyDescent="0.2">
      <c r="B376" s="56"/>
      <c r="C376" s="57"/>
      <c r="D376" s="57"/>
      <c r="E376" s="5"/>
      <c r="F376" s="5"/>
      <c r="G376" s="85" t="s">
        <v>66</v>
      </c>
      <c r="H376" s="107">
        <f>SUM(H320:H358)</f>
        <v>5231</v>
      </c>
      <c r="I376" s="105">
        <f>SUM(I320:I358)</f>
        <v>1673.9200000000003</v>
      </c>
      <c r="J376" s="106">
        <f>SUM(J320:J358)</f>
        <v>3557.0800000000004</v>
      </c>
      <c r="K376" s="106">
        <f>SUM(K364:K374)</f>
        <v>1900</v>
      </c>
      <c r="L376" s="108"/>
      <c r="M376" s="25"/>
    </row>
    <row r="377" spans="2:13" ht="12.75" thickBot="1" x14ac:dyDescent="0.25">
      <c r="B377" s="71"/>
      <c r="C377" s="72"/>
      <c r="D377" s="72"/>
      <c r="E377" s="73"/>
      <c r="F377" s="73"/>
      <c r="G377" s="86" t="s">
        <v>13</v>
      </c>
      <c r="H377" s="100"/>
      <c r="I377" s="99"/>
      <c r="J377" s="87"/>
      <c r="K377" s="87"/>
      <c r="L377" s="88">
        <f>+J376-K376+L319</f>
        <v>94660.730000000025</v>
      </c>
      <c r="M377" s="25"/>
    </row>
    <row r="378" spans="2:13" x14ac:dyDescent="0.2">
      <c r="B378" s="25"/>
      <c r="H378" s="74"/>
      <c r="I378" s="25"/>
      <c r="L378" s="25"/>
      <c r="M378" s="25"/>
    </row>
    <row r="379" spans="2:13" ht="12" customHeight="1" x14ac:dyDescent="0.2">
      <c r="B379" s="544" t="s">
        <v>48</v>
      </c>
      <c r="C379" s="545"/>
      <c r="D379" s="545"/>
      <c r="E379" s="545"/>
      <c r="F379" s="545"/>
      <c r="G379" s="545"/>
      <c r="H379" s="545"/>
      <c r="I379" s="545"/>
      <c r="J379" s="545"/>
      <c r="K379" s="545"/>
      <c r="L379" s="546"/>
      <c r="M379" s="25"/>
    </row>
    <row r="380" spans="2:13" x14ac:dyDescent="0.2">
      <c r="B380" s="547" t="s">
        <v>613</v>
      </c>
      <c r="C380" s="548"/>
      <c r="D380" s="548"/>
      <c r="E380" s="548"/>
      <c r="F380" s="548"/>
      <c r="G380" s="548"/>
      <c r="H380" s="548"/>
      <c r="I380" s="548"/>
      <c r="J380" s="548"/>
      <c r="K380" s="548"/>
      <c r="L380" s="549"/>
      <c r="M380" s="25"/>
    </row>
    <row r="381" spans="2:13" x14ac:dyDescent="0.2">
      <c r="B381" s="550" t="s">
        <v>50</v>
      </c>
      <c r="C381" s="550"/>
      <c r="D381" s="551" t="s">
        <v>51</v>
      </c>
      <c r="E381" s="551"/>
      <c r="F381" s="551"/>
      <c r="G381" s="363"/>
      <c r="H381" s="363"/>
      <c r="I381" s="363"/>
      <c r="J381" s="363"/>
      <c r="K381" s="363"/>
      <c r="L381" s="364"/>
      <c r="M381" s="25"/>
    </row>
    <row r="382" spans="2:13" ht="24" x14ac:dyDescent="0.2">
      <c r="B382" s="56" t="s">
        <v>1</v>
      </c>
      <c r="C382" s="57" t="s">
        <v>2</v>
      </c>
      <c r="D382" s="57" t="s">
        <v>2</v>
      </c>
      <c r="E382" s="5" t="s">
        <v>3</v>
      </c>
      <c r="F382" s="5" t="s">
        <v>4</v>
      </c>
      <c r="G382" s="89" t="s">
        <v>6</v>
      </c>
      <c r="H382" s="83" t="s">
        <v>7</v>
      </c>
      <c r="I382" s="83" t="s">
        <v>52</v>
      </c>
      <c r="J382" s="83" t="s">
        <v>53</v>
      </c>
      <c r="K382" s="5" t="s">
        <v>10</v>
      </c>
      <c r="L382" s="5" t="s">
        <v>11</v>
      </c>
      <c r="M382" s="25"/>
    </row>
    <row r="383" spans="2:13" x14ac:dyDescent="0.2">
      <c r="B383" s="58"/>
      <c r="C383" s="59"/>
      <c r="D383" s="59"/>
      <c r="E383" s="13"/>
      <c r="F383" s="13"/>
      <c r="G383" s="24"/>
      <c r="H383" s="60"/>
      <c r="I383" s="61"/>
      <c r="J383" s="61"/>
      <c r="K383" s="61"/>
      <c r="L383" s="60">
        <f>L377</f>
        <v>94660.730000000025</v>
      </c>
      <c r="M383" s="25"/>
    </row>
    <row r="384" spans="2:13" x14ac:dyDescent="0.2">
      <c r="B384" s="110">
        <v>43983</v>
      </c>
      <c r="C384" s="353"/>
      <c r="D384" s="11"/>
      <c r="E384" s="15"/>
      <c r="F384" s="15"/>
      <c r="G384" s="15"/>
      <c r="H384" s="112">
        <v>220</v>
      </c>
      <c r="I384" s="12">
        <f>H384*0.32</f>
        <v>70.400000000000006</v>
      </c>
      <c r="J384" s="12">
        <f>H384*0.68</f>
        <v>149.60000000000002</v>
      </c>
      <c r="K384" s="12"/>
      <c r="L384" s="63">
        <f>+J384-K384+L383</f>
        <v>94810.330000000031</v>
      </c>
      <c r="M384" s="25"/>
    </row>
    <row r="385" spans="2:13" x14ac:dyDescent="0.2">
      <c r="B385" s="110">
        <v>43985</v>
      </c>
      <c r="C385" s="353"/>
      <c r="D385" s="11"/>
      <c r="E385" s="15"/>
      <c r="F385" s="15"/>
      <c r="G385" s="15"/>
      <c r="H385" s="112">
        <v>220</v>
      </c>
      <c r="I385" s="12">
        <f t="shared" ref="I385:I433" si="26">H385*0.32</f>
        <v>70.400000000000006</v>
      </c>
      <c r="J385" s="12">
        <f t="shared" ref="J385:J433" si="27">H385*0.68</f>
        <v>149.60000000000002</v>
      </c>
      <c r="K385" s="12"/>
      <c r="L385" s="63">
        <f>+J385-K385+L384</f>
        <v>94959.930000000037</v>
      </c>
      <c r="M385" s="25"/>
    </row>
    <row r="386" spans="2:13" x14ac:dyDescent="0.2">
      <c r="B386" s="110">
        <v>43994</v>
      </c>
      <c r="C386" s="353"/>
      <c r="D386" s="11"/>
      <c r="E386" s="15"/>
      <c r="F386" s="15"/>
      <c r="G386" s="15"/>
      <c r="H386" s="112">
        <v>220</v>
      </c>
      <c r="I386" s="12">
        <f t="shared" si="26"/>
        <v>70.400000000000006</v>
      </c>
      <c r="J386" s="12">
        <f t="shared" si="27"/>
        <v>149.60000000000002</v>
      </c>
      <c r="K386" s="12"/>
      <c r="L386" s="63">
        <f>+J386-K386+L385</f>
        <v>95109.530000000042</v>
      </c>
      <c r="M386" s="25"/>
    </row>
    <row r="387" spans="2:13" x14ac:dyDescent="0.2">
      <c r="B387" s="110">
        <v>43998</v>
      </c>
      <c r="C387" s="353"/>
      <c r="D387" s="77"/>
      <c r="E387" s="15"/>
      <c r="F387" s="15"/>
      <c r="G387" s="15"/>
      <c r="H387" s="112">
        <v>220</v>
      </c>
      <c r="I387" s="12">
        <f t="shared" si="26"/>
        <v>70.400000000000006</v>
      </c>
      <c r="J387" s="12">
        <f t="shared" si="27"/>
        <v>149.60000000000002</v>
      </c>
      <c r="K387" s="12"/>
      <c r="L387" s="63">
        <f>+J387-K387+L386</f>
        <v>95259.130000000048</v>
      </c>
      <c r="M387" s="25"/>
    </row>
    <row r="388" spans="2:13" x14ac:dyDescent="0.2">
      <c r="B388" s="110"/>
      <c r="C388" s="353"/>
      <c r="D388" s="11"/>
      <c r="E388" s="15"/>
      <c r="F388" s="15"/>
      <c r="G388" s="15"/>
      <c r="H388" s="112"/>
      <c r="I388" s="12">
        <f t="shared" si="26"/>
        <v>0</v>
      </c>
      <c r="J388" s="12">
        <f t="shared" si="27"/>
        <v>0</v>
      </c>
      <c r="K388" s="12"/>
      <c r="L388" s="63">
        <f t="shared" ref="L388:L455" si="28">+J388-K388+L387</f>
        <v>95259.130000000048</v>
      </c>
      <c r="M388" s="25"/>
    </row>
    <row r="389" spans="2:13" x14ac:dyDescent="0.2">
      <c r="B389" s="110"/>
      <c r="C389" s="353"/>
      <c r="D389" s="11"/>
      <c r="E389" s="15"/>
      <c r="F389" s="15"/>
      <c r="G389" s="15"/>
      <c r="H389" s="112"/>
      <c r="I389" s="12">
        <f t="shared" si="26"/>
        <v>0</v>
      </c>
      <c r="J389" s="12">
        <f t="shared" si="27"/>
        <v>0</v>
      </c>
      <c r="K389" s="12"/>
      <c r="L389" s="63">
        <f t="shared" si="28"/>
        <v>95259.130000000048</v>
      </c>
      <c r="M389" s="25"/>
    </row>
    <row r="390" spans="2:13" x14ac:dyDescent="0.2">
      <c r="B390" s="110"/>
      <c r="C390" s="353"/>
      <c r="D390" s="11"/>
      <c r="E390" s="15"/>
      <c r="F390" s="15"/>
      <c r="G390" s="15"/>
      <c r="H390" s="112"/>
      <c r="I390" s="12">
        <f t="shared" si="26"/>
        <v>0</v>
      </c>
      <c r="J390" s="12">
        <f t="shared" si="27"/>
        <v>0</v>
      </c>
      <c r="K390" s="12"/>
      <c r="L390" s="63">
        <f t="shared" si="28"/>
        <v>95259.130000000048</v>
      </c>
      <c r="M390" s="25"/>
    </row>
    <row r="391" spans="2:13" x14ac:dyDescent="0.2">
      <c r="B391" s="110"/>
      <c r="C391" s="353"/>
      <c r="D391" s="11"/>
      <c r="E391" s="15"/>
      <c r="F391" s="15"/>
      <c r="G391" s="15"/>
      <c r="H391" s="112"/>
      <c r="I391" s="12">
        <f t="shared" si="26"/>
        <v>0</v>
      </c>
      <c r="J391" s="12">
        <f t="shared" si="27"/>
        <v>0</v>
      </c>
      <c r="K391" s="12"/>
      <c r="L391" s="63">
        <f t="shared" si="28"/>
        <v>95259.130000000048</v>
      </c>
      <c r="M391" s="25"/>
    </row>
    <row r="392" spans="2:13" x14ac:dyDescent="0.2">
      <c r="B392" s="110"/>
      <c r="C392" s="353"/>
      <c r="D392" s="11"/>
      <c r="E392" s="15"/>
      <c r="F392" s="15"/>
      <c r="G392" s="15"/>
      <c r="H392" s="112"/>
      <c r="I392" s="12">
        <f t="shared" si="26"/>
        <v>0</v>
      </c>
      <c r="J392" s="12">
        <f t="shared" si="27"/>
        <v>0</v>
      </c>
      <c r="K392" s="12"/>
      <c r="L392" s="63">
        <f t="shared" si="28"/>
        <v>95259.130000000048</v>
      </c>
      <c r="M392" s="25"/>
    </row>
    <row r="393" spans="2:13" x14ac:dyDescent="0.2">
      <c r="B393" s="110"/>
      <c r="C393" s="353"/>
      <c r="D393" s="65"/>
      <c r="E393" s="13"/>
      <c r="F393" s="15"/>
      <c r="G393" s="15"/>
      <c r="H393" s="112"/>
      <c r="I393" s="12">
        <f t="shared" si="26"/>
        <v>0</v>
      </c>
      <c r="J393" s="12">
        <f t="shared" si="27"/>
        <v>0</v>
      </c>
      <c r="K393" s="12"/>
      <c r="L393" s="63">
        <f t="shared" si="28"/>
        <v>95259.130000000048</v>
      </c>
      <c r="M393" s="25"/>
    </row>
    <row r="394" spans="2:13" x14ac:dyDescent="0.2">
      <c r="B394" s="110"/>
      <c r="C394" s="353"/>
      <c r="D394" s="65"/>
      <c r="E394" s="13"/>
      <c r="F394" s="15"/>
      <c r="G394" s="15"/>
      <c r="H394" s="112"/>
      <c r="I394" s="12">
        <f t="shared" si="26"/>
        <v>0</v>
      </c>
      <c r="J394" s="12">
        <f t="shared" si="27"/>
        <v>0</v>
      </c>
      <c r="K394" s="12"/>
      <c r="L394" s="63">
        <f t="shared" si="28"/>
        <v>95259.130000000048</v>
      </c>
      <c r="M394" s="25"/>
    </row>
    <row r="395" spans="2:13" x14ac:dyDescent="0.2">
      <c r="B395" s="110"/>
      <c r="C395" s="353"/>
      <c r="D395" s="65"/>
      <c r="E395" s="13"/>
      <c r="F395" s="15"/>
      <c r="G395" s="15"/>
      <c r="H395" s="112"/>
      <c r="I395" s="12">
        <f t="shared" si="26"/>
        <v>0</v>
      </c>
      <c r="J395" s="12">
        <f t="shared" si="27"/>
        <v>0</v>
      </c>
      <c r="K395" s="12"/>
      <c r="L395" s="63">
        <f t="shared" si="28"/>
        <v>95259.130000000048</v>
      </c>
      <c r="M395" s="25"/>
    </row>
    <row r="396" spans="2:13" x14ac:dyDescent="0.2">
      <c r="B396" s="110"/>
      <c r="C396" s="353"/>
      <c r="D396" s="65"/>
      <c r="E396" s="13"/>
      <c r="F396" s="15"/>
      <c r="G396" s="15"/>
      <c r="H396" s="112"/>
      <c r="I396" s="12">
        <f t="shared" si="26"/>
        <v>0</v>
      </c>
      <c r="J396" s="12">
        <f t="shared" si="27"/>
        <v>0</v>
      </c>
      <c r="K396" s="12"/>
      <c r="L396" s="63">
        <f t="shared" si="28"/>
        <v>95259.130000000048</v>
      </c>
      <c r="M396" s="25"/>
    </row>
    <row r="397" spans="2:13" x14ac:dyDescent="0.2">
      <c r="B397" s="110"/>
      <c r="C397" s="353"/>
      <c r="D397" s="65"/>
      <c r="E397" s="13"/>
      <c r="F397" s="15"/>
      <c r="G397" s="15"/>
      <c r="H397" s="112"/>
      <c r="I397" s="12">
        <f t="shared" si="26"/>
        <v>0</v>
      </c>
      <c r="J397" s="12">
        <f t="shared" si="27"/>
        <v>0</v>
      </c>
      <c r="K397" s="12"/>
      <c r="L397" s="63">
        <f t="shared" si="28"/>
        <v>95259.130000000048</v>
      </c>
      <c r="M397" s="25"/>
    </row>
    <row r="398" spans="2:13" x14ac:dyDescent="0.2">
      <c r="B398" s="110"/>
      <c r="C398" s="353"/>
      <c r="D398" s="65"/>
      <c r="E398" s="13"/>
      <c r="F398" s="15"/>
      <c r="G398" s="15"/>
      <c r="H398" s="112"/>
      <c r="I398" s="12">
        <f t="shared" si="26"/>
        <v>0</v>
      </c>
      <c r="J398" s="12">
        <f t="shared" si="27"/>
        <v>0</v>
      </c>
      <c r="K398" s="12"/>
      <c r="L398" s="63">
        <f t="shared" si="28"/>
        <v>95259.130000000048</v>
      </c>
      <c r="M398" s="25"/>
    </row>
    <row r="399" spans="2:13" x14ac:dyDescent="0.2">
      <c r="B399" s="427">
        <v>43983</v>
      </c>
      <c r="C399" s="438" t="s">
        <v>790</v>
      </c>
      <c r="D399" s="431"/>
      <c r="E399" s="432"/>
      <c r="F399" s="436"/>
      <c r="G399" s="436"/>
      <c r="H399" s="437">
        <v>220</v>
      </c>
      <c r="I399" s="12">
        <f t="shared" si="26"/>
        <v>70.400000000000006</v>
      </c>
      <c r="J399" s="12">
        <f t="shared" si="27"/>
        <v>149.60000000000002</v>
      </c>
      <c r="K399" s="12"/>
      <c r="L399" s="63">
        <f t="shared" si="28"/>
        <v>95408.730000000054</v>
      </c>
      <c r="M399" s="25"/>
    </row>
    <row r="400" spans="2:13" x14ac:dyDescent="0.2">
      <c r="B400" s="427">
        <v>43984</v>
      </c>
      <c r="C400" s="438" t="s">
        <v>790</v>
      </c>
      <c r="D400" s="431"/>
      <c r="E400" s="432"/>
      <c r="F400" s="436"/>
      <c r="G400" s="436"/>
      <c r="H400" s="437">
        <v>330</v>
      </c>
      <c r="I400" s="12">
        <f t="shared" si="26"/>
        <v>105.60000000000001</v>
      </c>
      <c r="J400" s="12">
        <f t="shared" si="27"/>
        <v>224.4</v>
      </c>
      <c r="K400" s="12"/>
      <c r="L400" s="63">
        <f t="shared" si="28"/>
        <v>95633.130000000048</v>
      </c>
      <c r="M400" s="25"/>
    </row>
    <row r="401" spans="2:13" x14ac:dyDescent="0.2">
      <c r="B401" s="427">
        <v>43985</v>
      </c>
      <c r="C401" s="438" t="s">
        <v>790</v>
      </c>
      <c r="D401" s="431"/>
      <c r="E401" s="432"/>
      <c r="F401" s="436"/>
      <c r="G401" s="436"/>
      <c r="H401" s="437">
        <v>880</v>
      </c>
      <c r="I401" s="12">
        <f t="shared" si="26"/>
        <v>281.60000000000002</v>
      </c>
      <c r="J401" s="12">
        <f t="shared" si="27"/>
        <v>598.40000000000009</v>
      </c>
      <c r="K401" s="12"/>
      <c r="L401" s="63">
        <f t="shared" si="28"/>
        <v>96231.530000000042</v>
      </c>
      <c r="M401" s="25"/>
    </row>
    <row r="402" spans="2:13" x14ac:dyDescent="0.2">
      <c r="B402" s="427">
        <v>43986</v>
      </c>
      <c r="C402" s="438" t="s">
        <v>790</v>
      </c>
      <c r="D402" s="431"/>
      <c r="E402" s="432"/>
      <c r="F402" s="436"/>
      <c r="G402" s="436"/>
      <c r="H402" s="437">
        <v>220</v>
      </c>
      <c r="I402" s="12">
        <f t="shared" si="26"/>
        <v>70.400000000000006</v>
      </c>
      <c r="J402" s="12">
        <f t="shared" si="27"/>
        <v>149.60000000000002</v>
      </c>
      <c r="K402" s="12"/>
      <c r="L402" s="63">
        <f t="shared" si="28"/>
        <v>96381.130000000048</v>
      </c>
      <c r="M402" s="25"/>
    </row>
    <row r="403" spans="2:13" x14ac:dyDescent="0.2">
      <c r="B403" s="427">
        <v>43988</v>
      </c>
      <c r="C403" s="438" t="s">
        <v>790</v>
      </c>
      <c r="D403" s="431"/>
      <c r="E403" s="432"/>
      <c r="F403" s="436"/>
      <c r="G403" s="436"/>
      <c r="H403" s="437">
        <v>220</v>
      </c>
      <c r="I403" s="12">
        <f t="shared" si="26"/>
        <v>70.400000000000006</v>
      </c>
      <c r="J403" s="12">
        <f t="shared" si="27"/>
        <v>149.60000000000002</v>
      </c>
      <c r="K403" s="12"/>
      <c r="L403" s="63">
        <f t="shared" si="28"/>
        <v>96530.730000000054</v>
      </c>
      <c r="M403" s="25"/>
    </row>
    <row r="404" spans="2:13" x14ac:dyDescent="0.2">
      <c r="B404" s="427">
        <v>43993</v>
      </c>
      <c r="C404" s="438" t="s">
        <v>790</v>
      </c>
      <c r="D404" s="431"/>
      <c r="E404" s="432"/>
      <c r="F404" s="436"/>
      <c r="G404" s="436"/>
      <c r="H404" s="437">
        <v>330</v>
      </c>
      <c r="I404" s="12">
        <f t="shared" si="26"/>
        <v>105.60000000000001</v>
      </c>
      <c r="J404" s="12">
        <f t="shared" si="27"/>
        <v>224.4</v>
      </c>
      <c r="K404" s="12"/>
      <c r="L404" s="63">
        <f t="shared" si="28"/>
        <v>96755.130000000048</v>
      </c>
      <c r="M404" s="25"/>
    </row>
    <row r="405" spans="2:13" x14ac:dyDescent="0.2">
      <c r="B405" s="427">
        <v>43994</v>
      </c>
      <c r="C405" s="438" t="s">
        <v>790</v>
      </c>
      <c r="D405" s="431"/>
      <c r="E405" s="432"/>
      <c r="F405" s="436"/>
      <c r="G405" s="436"/>
      <c r="H405" s="437">
        <v>1760</v>
      </c>
      <c r="I405" s="12">
        <f t="shared" si="26"/>
        <v>563.20000000000005</v>
      </c>
      <c r="J405" s="12">
        <f t="shared" si="27"/>
        <v>1196.8000000000002</v>
      </c>
      <c r="K405" s="12"/>
      <c r="L405" s="63">
        <f t="shared" si="28"/>
        <v>97951.930000000051</v>
      </c>
      <c r="M405" s="25"/>
    </row>
    <row r="406" spans="2:13" x14ac:dyDescent="0.2">
      <c r="B406" s="427">
        <v>43995</v>
      </c>
      <c r="C406" s="438" t="s">
        <v>790</v>
      </c>
      <c r="D406" s="431"/>
      <c r="E406" s="432"/>
      <c r="F406" s="436"/>
      <c r="G406" s="436"/>
      <c r="H406" s="437">
        <v>550</v>
      </c>
      <c r="I406" s="12">
        <f t="shared" si="26"/>
        <v>176</v>
      </c>
      <c r="J406" s="12">
        <f t="shared" si="27"/>
        <v>374</v>
      </c>
      <c r="K406" s="12"/>
      <c r="L406" s="63">
        <f t="shared" si="28"/>
        <v>98325.930000000051</v>
      </c>
      <c r="M406" s="25"/>
    </row>
    <row r="407" spans="2:13" x14ac:dyDescent="0.2">
      <c r="B407" s="427">
        <v>43997</v>
      </c>
      <c r="C407" s="438" t="s">
        <v>790</v>
      </c>
      <c r="D407" s="431"/>
      <c r="E407" s="432"/>
      <c r="F407" s="436"/>
      <c r="G407" s="436"/>
      <c r="H407" s="437">
        <v>220</v>
      </c>
      <c r="I407" s="12">
        <f t="shared" si="26"/>
        <v>70.400000000000006</v>
      </c>
      <c r="J407" s="12">
        <f t="shared" si="27"/>
        <v>149.60000000000002</v>
      </c>
      <c r="K407" s="12"/>
      <c r="L407" s="63">
        <f t="shared" si="28"/>
        <v>98475.530000000057</v>
      </c>
      <c r="M407" s="25"/>
    </row>
    <row r="408" spans="2:13" x14ac:dyDescent="0.2">
      <c r="B408" s="427">
        <v>43999</v>
      </c>
      <c r="C408" s="438" t="s">
        <v>790</v>
      </c>
      <c r="D408" s="431"/>
      <c r="E408" s="432"/>
      <c r="F408" s="436"/>
      <c r="G408" s="436"/>
      <c r="H408" s="437">
        <v>220</v>
      </c>
      <c r="I408" s="12">
        <f t="shared" si="26"/>
        <v>70.400000000000006</v>
      </c>
      <c r="J408" s="12">
        <f t="shared" si="27"/>
        <v>149.60000000000002</v>
      </c>
      <c r="K408" s="12"/>
      <c r="L408" s="63">
        <f t="shared" si="28"/>
        <v>98625.130000000063</v>
      </c>
      <c r="M408" s="25"/>
    </row>
    <row r="409" spans="2:13" x14ac:dyDescent="0.2">
      <c r="B409" s="427">
        <v>44004</v>
      </c>
      <c r="C409" s="438" t="s">
        <v>790</v>
      </c>
      <c r="D409" s="431"/>
      <c r="E409" s="432"/>
      <c r="F409" s="436"/>
      <c r="G409" s="436"/>
      <c r="H409" s="437">
        <v>110</v>
      </c>
      <c r="I409" s="12">
        <f t="shared" si="26"/>
        <v>35.200000000000003</v>
      </c>
      <c r="J409" s="12">
        <f t="shared" si="27"/>
        <v>74.800000000000011</v>
      </c>
      <c r="K409" s="12"/>
      <c r="L409" s="63">
        <f t="shared" si="28"/>
        <v>98699.930000000066</v>
      </c>
      <c r="M409" s="25"/>
    </row>
    <row r="410" spans="2:13" x14ac:dyDescent="0.2">
      <c r="B410" s="427">
        <v>44005</v>
      </c>
      <c r="C410" s="438" t="s">
        <v>790</v>
      </c>
      <c r="D410" s="431"/>
      <c r="E410" s="432"/>
      <c r="F410" s="436"/>
      <c r="G410" s="436"/>
      <c r="H410" s="437">
        <v>220</v>
      </c>
      <c r="I410" s="12">
        <f t="shared" si="26"/>
        <v>70.400000000000006</v>
      </c>
      <c r="J410" s="12">
        <f t="shared" si="27"/>
        <v>149.60000000000002</v>
      </c>
      <c r="K410" s="12"/>
      <c r="L410" s="63">
        <f t="shared" si="28"/>
        <v>98849.530000000072</v>
      </c>
      <c r="M410" s="25"/>
    </row>
    <row r="411" spans="2:13" x14ac:dyDescent="0.2">
      <c r="B411" s="427">
        <v>44007</v>
      </c>
      <c r="C411" s="438" t="s">
        <v>790</v>
      </c>
      <c r="D411" s="431"/>
      <c r="E411" s="432"/>
      <c r="F411" s="436"/>
      <c r="G411" s="436"/>
      <c r="H411" s="437">
        <v>770</v>
      </c>
      <c r="I411" s="12">
        <f t="shared" si="26"/>
        <v>246.4</v>
      </c>
      <c r="J411" s="12">
        <f t="shared" si="27"/>
        <v>523.6</v>
      </c>
      <c r="K411" s="12"/>
      <c r="L411" s="63">
        <f t="shared" si="28"/>
        <v>99373.130000000077</v>
      </c>
      <c r="M411" s="25"/>
    </row>
    <row r="412" spans="2:13" x14ac:dyDescent="0.2">
      <c r="B412" s="427">
        <v>44008</v>
      </c>
      <c r="C412" s="438" t="s">
        <v>790</v>
      </c>
      <c r="D412" s="431"/>
      <c r="E412" s="432"/>
      <c r="F412" s="436"/>
      <c r="G412" s="436"/>
      <c r="H412" s="437">
        <v>220</v>
      </c>
      <c r="I412" s="12">
        <f t="shared" si="26"/>
        <v>70.400000000000006</v>
      </c>
      <c r="J412" s="12">
        <f t="shared" si="27"/>
        <v>149.60000000000002</v>
      </c>
      <c r="K412" s="12"/>
      <c r="L412" s="63">
        <f t="shared" si="28"/>
        <v>99522.730000000083</v>
      </c>
      <c r="M412" s="25"/>
    </row>
    <row r="413" spans="2:13" x14ac:dyDescent="0.2">
      <c r="B413" s="427">
        <v>44012</v>
      </c>
      <c r="C413" s="438" t="s">
        <v>790</v>
      </c>
      <c r="D413" s="431"/>
      <c r="E413" s="432"/>
      <c r="F413" s="436"/>
      <c r="G413" s="436"/>
      <c r="H413" s="437">
        <v>110</v>
      </c>
      <c r="I413" s="12">
        <f t="shared" si="26"/>
        <v>35.200000000000003</v>
      </c>
      <c r="J413" s="12">
        <f t="shared" si="27"/>
        <v>74.800000000000011</v>
      </c>
      <c r="K413" s="12"/>
      <c r="L413" s="63">
        <f t="shared" si="28"/>
        <v>99597.530000000086</v>
      </c>
      <c r="M413" s="25"/>
    </row>
    <row r="414" spans="2:13" x14ac:dyDescent="0.2">
      <c r="B414" s="427"/>
      <c r="C414" s="438"/>
      <c r="D414" s="431"/>
      <c r="E414" s="432"/>
      <c r="F414" s="436"/>
      <c r="G414" s="436"/>
      <c r="H414" s="437"/>
      <c r="I414" s="12">
        <f t="shared" si="26"/>
        <v>0</v>
      </c>
      <c r="J414" s="12">
        <f t="shared" si="27"/>
        <v>0</v>
      </c>
      <c r="K414" s="12"/>
      <c r="L414" s="63">
        <f t="shared" si="28"/>
        <v>99597.530000000086</v>
      </c>
      <c r="M414" s="25"/>
    </row>
    <row r="415" spans="2:13" x14ac:dyDescent="0.2">
      <c r="B415" s="427"/>
      <c r="C415" s="438"/>
      <c r="D415" s="431"/>
      <c r="E415" s="432"/>
      <c r="F415" s="436"/>
      <c r="G415" s="436"/>
      <c r="H415" s="437"/>
      <c r="I415" s="12">
        <f t="shared" si="26"/>
        <v>0</v>
      </c>
      <c r="J415" s="12">
        <f t="shared" si="27"/>
        <v>0</v>
      </c>
      <c r="K415" s="12"/>
      <c r="L415" s="63">
        <f t="shared" si="28"/>
        <v>99597.530000000086</v>
      </c>
      <c r="M415" s="25"/>
    </row>
    <row r="416" spans="2:13" x14ac:dyDescent="0.2">
      <c r="B416" s="442">
        <v>43983</v>
      </c>
      <c r="C416" s="443" t="s">
        <v>826</v>
      </c>
      <c r="D416" s="444" t="s">
        <v>828</v>
      </c>
      <c r="E416" s="445"/>
      <c r="F416" s="446"/>
      <c r="G416" s="446"/>
      <c r="H416" s="447">
        <v>144</v>
      </c>
      <c r="I416" s="448">
        <f t="shared" si="26"/>
        <v>46.08</v>
      </c>
      <c r="J416" s="12">
        <f t="shared" si="27"/>
        <v>97.92</v>
      </c>
      <c r="K416" s="12"/>
      <c r="L416" s="63">
        <f t="shared" si="28"/>
        <v>99695.450000000084</v>
      </c>
      <c r="M416" s="25"/>
    </row>
    <row r="417" spans="2:13" x14ac:dyDescent="0.2">
      <c r="B417" s="442">
        <v>43986</v>
      </c>
      <c r="C417" s="443" t="s">
        <v>826</v>
      </c>
      <c r="D417" s="444" t="s">
        <v>828</v>
      </c>
      <c r="E417" s="445"/>
      <c r="F417" s="446"/>
      <c r="G417" s="446"/>
      <c r="H417" s="447">
        <v>364</v>
      </c>
      <c r="I417" s="448">
        <f t="shared" si="26"/>
        <v>116.48</v>
      </c>
      <c r="J417" s="12">
        <f t="shared" si="27"/>
        <v>247.52</v>
      </c>
      <c r="K417" s="12"/>
      <c r="L417" s="63">
        <f t="shared" si="28"/>
        <v>99942.970000000088</v>
      </c>
      <c r="M417" s="25"/>
    </row>
    <row r="418" spans="2:13" x14ac:dyDescent="0.2">
      <c r="B418" s="442">
        <v>43987</v>
      </c>
      <c r="C418" s="443" t="s">
        <v>826</v>
      </c>
      <c r="D418" s="444" t="s">
        <v>828</v>
      </c>
      <c r="E418" s="445"/>
      <c r="F418" s="446"/>
      <c r="G418" s="446"/>
      <c r="H418" s="447">
        <v>880</v>
      </c>
      <c r="I418" s="448">
        <f t="shared" si="26"/>
        <v>281.60000000000002</v>
      </c>
      <c r="J418" s="12">
        <f t="shared" si="27"/>
        <v>598.40000000000009</v>
      </c>
      <c r="K418" s="12"/>
      <c r="L418" s="63">
        <f t="shared" si="28"/>
        <v>100541.37000000008</v>
      </c>
      <c r="M418" s="25"/>
    </row>
    <row r="419" spans="2:13" x14ac:dyDescent="0.2">
      <c r="B419" s="442">
        <v>43988</v>
      </c>
      <c r="C419" s="443" t="s">
        <v>826</v>
      </c>
      <c r="D419" s="444" t="s">
        <v>828</v>
      </c>
      <c r="E419" s="445"/>
      <c r="F419" s="446"/>
      <c r="G419" s="446"/>
      <c r="H419" s="447">
        <v>220</v>
      </c>
      <c r="I419" s="448">
        <f t="shared" si="26"/>
        <v>70.400000000000006</v>
      </c>
      <c r="J419" s="12">
        <f t="shared" si="27"/>
        <v>149.60000000000002</v>
      </c>
      <c r="K419" s="12"/>
      <c r="L419" s="63">
        <f t="shared" si="28"/>
        <v>100690.97000000009</v>
      </c>
      <c r="M419" s="25"/>
    </row>
    <row r="420" spans="2:13" x14ac:dyDescent="0.2">
      <c r="B420" s="442"/>
      <c r="C420" s="443"/>
      <c r="D420" s="444"/>
      <c r="E420" s="445"/>
      <c r="F420" s="446"/>
      <c r="G420" s="446"/>
      <c r="H420" s="447"/>
      <c r="I420" s="448">
        <f t="shared" ref="I420:I432" si="29">H420*0.32</f>
        <v>0</v>
      </c>
      <c r="J420" s="12">
        <f t="shared" ref="J420:J432" si="30">H420*0.68</f>
        <v>0</v>
      </c>
      <c r="K420" s="12"/>
      <c r="L420" s="63">
        <f t="shared" si="28"/>
        <v>100690.97000000009</v>
      </c>
      <c r="M420" s="25"/>
    </row>
    <row r="421" spans="2:13" x14ac:dyDescent="0.2">
      <c r="B421" s="442"/>
      <c r="C421" s="443"/>
      <c r="D421" s="444"/>
      <c r="E421" s="445"/>
      <c r="F421" s="446"/>
      <c r="G421" s="446"/>
      <c r="H421" s="447"/>
      <c r="I421" s="448">
        <f t="shared" si="29"/>
        <v>0</v>
      </c>
      <c r="J421" s="12">
        <f t="shared" si="30"/>
        <v>0</v>
      </c>
      <c r="K421" s="12"/>
      <c r="L421" s="63">
        <f t="shared" si="28"/>
        <v>100690.97000000009</v>
      </c>
      <c r="M421" s="25"/>
    </row>
    <row r="422" spans="2:13" x14ac:dyDescent="0.2">
      <c r="B422" s="442"/>
      <c r="C422" s="443"/>
      <c r="D422" s="444"/>
      <c r="E422" s="445"/>
      <c r="F422" s="446"/>
      <c r="G422" s="446"/>
      <c r="H422" s="447"/>
      <c r="I422" s="448">
        <f t="shared" si="29"/>
        <v>0</v>
      </c>
      <c r="J422" s="12">
        <f t="shared" si="30"/>
        <v>0</v>
      </c>
      <c r="K422" s="12"/>
      <c r="L422" s="63">
        <f t="shared" si="28"/>
        <v>100690.97000000009</v>
      </c>
      <c r="M422" s="25"/>
    </row>
    <row r="423" spans="2:13" x14ac:dyDescent="0.2">
      <c r="B423" s="453">
        <v>43983</v>
      </c>
      <c r="C423" s="457" t="s">
        <v>826</v>
      </c>
      <c r="D423" s="454" t="s">
        <v>829</v>
      </c>
      <c r="E423" s="455"/>
      <c r="F423" s="455"/>
      <c r="G423" s="455"/>
      <c r="H423" s="456">
        <v>144</v>
      </c>
      <c r="I423" s="448">
        <f t="shared" si="29"/>
        <v>46.08</v>
      </c>
      <c r="J423" s="12">
        <f t="shared" si="30"/>
        <v>97.92</v>
      </c>
      <c r="K423" s="12"/>
      <c r="L423" s="63">
        <f t="shared" si="28"/>
        <v>100788.89000000009</v>
      </c>
      <c r="M423" s="25"/>
    </row>
    <row r="424" spans="2:13" x14ac:dyDescent="0.2">
      <c r="B424" s="453">
        <v>43986</v>
      </c>
      <c r="C424" s="457" t="s">
        <v>826</v>
      </c>
      <c r="D424" s="454" t="s">
        <v>829</v>
      </c>
      <c r="E424" s="455"/>
      <c r="F424" s="455"/>
      <c r="G424" s="455"/>
      <c r="H424" s="456">
        <v>144</v>
      </c>
      <c r="I424" s="448">
        <f t="shared" si="29"/>
        <v>46.08</v>
      </c>
      <c r="J424" s="12">
        <f t="shared" si="30"/>
        <v>97.92</v>
      </c>
      <c r="K424" s="12"/>
      <c r="L424" s="63">
        <f t="shared" si="28"/>
        <v>100886.81000000008</v>
      </c>
      <c r="M424" s="25"/>
    </row>
    <row r="425" spans="2:13" x14ac:dyDescent="0.2">
      <c r="B425" s="453">
        <v>43991</v>
      </c>
      <c r="C425" s="457" t="s">
        <v>826</v>
      </c>
      <c r="D425" s="454" t="s">
        <v>829</v>
      </c>
      <c r="E425" s="455"/>
      <c r="F425" s="455"/>
      <c r="G425" s="455"/>
      <c r="H425" s="456">
        <v>110</v>
      </c>
      <c r="I425" s="448">
        <f t="shared" si="29"/>
        <v>35.200000000000003</v>
      </c>
      <c r="J425" s="12">
        <f t="shared" si="30"/>
        <v>74.800000000000011</v>
      </c>
      <c r="K425" s="12"/>
      <c r="L425" s="63">
        <f t="shared" si="28"/>
        <v>100961.61000000009</v>
      </c>
      <c r="M425" s="25"/>
    </row>
    <row r="426" spans="2:13" x14ac:dyDescent="0.2">
      <c r="B426" s="453">
        <v>44000</v>
      </c>
      <c r="C426" s="457" t="s">
        <v>826</v>
      </c>
      <c r="D426" s="454" t="s">
        <v>829</v>
      </c>
      <c r="E426" s="455"/>
      <c r="F426" s="455"/>
      <c r="G426" s="455"/>
      <c r="H426" s="456">
        <v>220</v>
      </c>
      <c r="I426" s="448">
        <f t="shared" si="29"/>
        <v>70.400000000000006</v>
      </c>
      <c r="J426" s="12">
        <f t="shared" si="30"/>
        <v>149.60000000000002</v>
      </c>
      <c r="K426" s="12"/>
      <c r="L426" s="63">
        <f t="shared" si="28"/>
        <v>101111.21000000009</v>
      </c>
      <c r="M426" s="25"/>
    </row>
    <row r="427" spans="2:13" x14ac:dyDescent="0.2">
      <c r="B427" s="453">
        <v>44001</v>
      </c>
      <c r="C427" s="457" t="s">
        <v>826</v>
      </c>
      <c r="D427" s="454" t="s">
        <v>829</v>
      </c>
      <c r="E427" s="455"/>
      <c r="F427" s="455"/>
      <c r="G427" s="455"/>
      <c r="H427" s="456">
        <v>220</v>
      </c>
      <c r="I427" s="448">
        <f t="shared" si="29"/>
        <v>70.400000000000006</v>
      </c>
      <c r="J427" s="12">
        <f t="shared" si="30"/>
        <v>149.60000000000002</v>
      </c>
      <c r="K427" s="12"/>
      <c r="L427" s="63">
        <f t="shared" si="28"/>
        <v>101260.8100000001</v>
      </c>
      <c r="M427" s="25"/>
    </row>
    <row r="428" spans="2:13" x14ac:dyDescent="0.2">
      <c r="B428" s="453">
        <v>44004</v>
      </c>
      <c r="C428" s="457" t="s">
        <v>826</v>
      </c>
      <c r="D428" s="454" t="s">
        <v>829</v>
      </c>
      <c r="E428" s="455"/>
      <c r="F428" s="455"/>
      <c r="G428" s="455"/>
      <c r="H428" s="456">
        <v>220</v>
      </c>
      <c r="I428" s="448">
        <f t="shared" si="29"/>
        <v>70.400000000000006</v>
      </c>
      <c r="J428" s="12">
        <f t="shared" si="30"/>
        <v>149.60000000000002</v>
      </c>
      <c r="K428" s="12"/>
      <c r="L428" s="63">
        <f t="shared" si="28"/>
        <v>101410.41000000011</v>
      </c>
      <c r="M428" s="25"/>
    </row>
    <row r="429" spans="2:13" x14ac:dyDescent="0.2">
      <c r="B429" s="453">
        <v>37434</v>
      </c>
      <c r="C429" s="457" t="s">
        <v>826</v>
      </c>
      <c r="D429" s="454" t="s">
        <v>829</v>
      </c>
      <c r="E429" s="455"/>
      <c r="F429" s="455"/>
      <c r="G429" s="455"/>
      <c r="H429" s="456">
        <v>220</v>
      </c>
      <c r="I429" s="448">
        <f t="shared" si="29"/>
        <v>70.400000000000006</v>
      </c>
      <c r="J429" s="12">
        <f t="shared" si="30"/>
        <v>149.60000000000002</v>
      </c>
      <c r="K429" s="12"/>
      <c r="L429" s="63">
        <f t="shared" si="28"/>
        <v>101560.01000000011</v>
      </c>
      <c r="M429" s="25"/>
    </row>
    <row r="430" spans="2:13" x14ac:dyDescent="0.2">
      <c r="B430" s="442"/>
      <c r="C430" s="443"/>
      <c r="D430" s="444"/>
      <c r="E430" s="445"/>
      <c r="F430" s="446"/>
      <c r="G430" s="446"/>
      <c r="H430" s="447"/>
      <c r="I430" s="448">
        <f t="shared" si="29"/>
        <v>0</v>
      </c>
      <c r="J430" s="12">
        <f t="shared" si="30"/>
        <v>0</v>
      </c>
      <c r="K430" s="12"/>
      <c r="L430" s="63">
        <f t="shared" si="28"/>
        <v>101560.01000000011</v>
      </c>
      <c r="M430" s="25"/>
    </row>
    <row r="431" spans="2:13" x14ac:dyDescent="0.2">
      <c r="B431" s="442"/>
      <c r="C431" s="443"/>
      <c r="D431" s="444"/>
      <c r="E431" s="445"/>
      <c r="F431" s="446"/>
      <c r="G431" s="446"/>
      <c r="H431" s="447"/>
      <c r="I431" s="448">
        <f t="shared" si="29"/>
        <v>0</v>
      </c>
      <c r="J431" s="12">
        <f t="shared" si="30"/>
        <v>0</v>
      </c>
      <c r="K431" s="12"/>
      <c r="L431" s="63">
        <f t="shared" si="28"/>
        <v>101560.01000000011</v>
      </c>
      <c r="M431" s="25"/>
    </row>
    <row r="432" spans="2:13" x14ac:dyDescent="0.2">
      <c r="B432" s="442"/>
      <c r="C432" s="449"/>
      <c r="D432" s="444"/>
      <c r="E432" s="445"/>
      <c r="F432" s="446"/>
      <c r="G432" s="446"/>
      <c r="H432" s="447"/>
      <c r="I432" s="448">
        <f t="shared" si="29"/>
        <v>0</v>
      </c>
      <c r="J432" s="12">
        <f t="shared" si="30"/>
        <v>0</v>
      </c>
      <c r="K432" s="12"/>
      <c r="L432" s="63">
        <f t="shared" si="28"/>
        <v>101560.01000000011</v>
      </c>
      <c r="M432" s="25"/>
    </row>
    <row r="433" spans="2:13" ht="13.5" customHeight="1" x14ac:dyDescent="0.2">
      <c r="B433" s="442"/>
      <c r="C433" s="449"/>
      <c r="D433" s="444"/>
      <c r="E433" s="445"/>
      <c r="F433" s="446"/>
      <c r="G433" s="446"/>
      <c r="H433" s="447"/>
      <c r="I433" s="448">
        <f t="shared" si="26"/>
        <v>0</v>
      </c>
      <c r="J433" s="12">
        <f t="shared" si="27"/>
        <v>0</v>
      </c>
      <c r="K433" s="12"/>
      <c r="L433" s="63">
        <f t="shared" si="28"/>
        <v>101560.01000000011</v>
      </c>
      <c r="M433" s="25"/>
    </row>
    <row r="434" spans="2:13" x14ac:dyDescent="0.2">
      <c r="B434" s="110"/>
      <c r="C434" s="65"/>
      <c r="D434" s="65"/>
      <c r="E434" s="13"/>
      <c r="F434" s="15"/>
      <c r="G434" s="66"/>
      <c r="H434" s="112"/>
      <c r="I434" s="12"/>
      <c r="J434" s="12"/>
      <c r="K434" s="12"/>
      <c r="L434" s="63">
        <f t="shared" si="28"/>
        <v>101560.01000000011</v>
      </c>
      <c r="M434" s="25"/>
    </row>
    <row r="435" spans="2:13" x14ac:dyDescent="0.2">
      <c r="B435" s="547" t="s">
        <v>310</v>
      </c>
      <c r="C435" s="548"/>
      <c r="D435" s="548"/>
      <c r="E435" s="548"/>
      <c r="F435" s="548"/>
      <c r="G435" s="548"/>
      <c r="H435" s="548"/>
      <c r="I435" s="548"/>
      <c r="J435" s="548"/>
      <c r="K435" s="549"/>
      <c r="L435" s="63">
        <f t="shared" si="28"/>
        <v>101560.01000000011</v>
      </c>
      <c r="M435" s="25"/>
    </row>
    <row r="436" spans="2:13" x14ac:dyDescent="0.2">
      <c r="B436" s="552" t="s">
        <v>56</v>
      </c>
      <c r="C436" s="553"/>
      <c r="D436" s="554" t="s">
        <v>51</v>
      </c>
      <c r="E436" s="554"/>
      <c r="F436" s="554"/>
      <c r="G436" s="94"/>
      <c r="H436" s="95"/>
      <c r="I436" s="96"/>
      <c r="J436" s="96"/>
      <c r="K436" s="97"/>
      <c r="L436" s="63">
        <f t="shared" si="28"/>
        <v>101560.01000000011</v>
      </c>
      <c r="M436" s="25"/>
    </row>
    <row r="437" spans="2:13" x14ac:dyDescent="0.2">
      <c r="B437" s="91" t="s">
        <v>1</v>
      </c>
      <c r="C437" s="92" t="s">
        <v>57</v>
      </c>
      <c r="D437" s="92" t="s">
        <v>2</v>
      </c>
      <c r="E437" s="365" t="s">
        <v>3</v>
      </c>
      <c r="F437" s="365" t="s">
        <v>4</v>
      </c>
      <c r="G437" s="561" t="s">
        <v>58</v>
      </c>
      <c r="H437" s="562"/>
      <c r="I437" s="562"/>
      <c r="J437" s="563"/>
      <c r="K437" s="90"/>
      <c r="L437" s="63">
        <f t="shared" si="28"/>
        <v>101560.01000000011</v>
      </c>
      <c r="M437" s="25"/>
    </row>
    <row r="438" spans="2:13" x14ac:dyDescent="0.2">
      <c r="B438" s="64"/>
      <c r="C438" s="349"/>
      <c r="D438" s="349"/>
      <c r="E438" s="3"/>
      <c r="F438" s="16"/>
      <c r="G438" s="571"/>
      <c r="H438" s="572"/>
      <c r="I438" s="573"/>
      <c r="J438" s="349"/>
      <c r="K438" s="70"/>
      <c r="L438" s="63">
        <f t="shared" si="28"/>
        <v>101560.01000000011</v>
      </c>
      <c r="M438" s="25"/>
    </row>
    <row r="439" spans="2:13" ht="41.25" customHeight="1" x14ac:dyDescent="0.2">
      <c r="B439" s="422">
        <v>43997</v>
      </c>
      <c r="C439" s="423" t="s">
        <v>773</v>
      </c>
      <c r="D439" s="78"/>
      <c r="E439" s="3"/>
      <c r="F439" s="609" t="s">
        <v>774</v>
      </c>
      <c r="G439" s="610"/>
      <c r="H439" s="610"/>
      <c r="I439" s="421" t="s">
        <v>775</v>
      </c>
      <c r="J439" s="12"/>
      <c r="K439" s="420">
        <v>1040</v>
      </c>
      <c r="L439" s="63">
        <f t="shared" si="28"/>
        <v>100520.01000000011</v>
      </c>
      <c r="M439" s="25"/>
    </row>
    <row r="440" spans="2:13" ht="49.5" customHeight="1" x14ac:dyDescent="0.2">
      <c r="B440" s="64">
        <v>43998</v>
      </c>
      <c r="C440" s="78" t="s">
        <v>776</v>
      </c>
      <c r="D440" s="78"/>
      <c r="E440" s="3"/>
      <c r="F440" s="609" t="s">
        <v>777</v>
      </c>
      <c r="G440" s="610"/>
      <c r="H440" s="610"/>
      <c r="I440" s="611"/>
      <c r="J440" s="12"/>
      <c r="K440" s="424">
        <v>450</v>
      </c>
      <c r="L440" s="63">
        <f t="shared" si="28"/>
        <v>100070.01000000011</v>
      </c>
      <c r="M440" s="25"/>
    </row>
    <row r="441" spans="2:13" ht="42.75" customHeight="1" x14ac:dyDescent="0.2">
      <c r="B441" s="64">
        <v>43998</v>
      </c>
      <c r="C441" s="78" t="s">
        <v>778</v>
      </c>
      <c r="D441" s="78"/>
      <c r="E441" s="3"/>
      <c r="F441" s="609" t="s">
        <v>779</v>
      </c>
      <c r="G441" s="610"/>
      <c r="H441" s="610"/>
      <c r="I441" s="611"/>
      <c r="J441" s="12"/>
      <c r="K441" s="424">
        <f>500*3</f>
        <v>1500</v>
      </c>
      <c r="L441" s="63">
        <f t="shared" si="28"/>
        <v>98570.010000000111</v>
      </c>
      <c r="M441" s="25"/>
    </row>
    <row r="442" spans="2:13" x14ac:dyDescent="0.2">
      <c r="B442" s="64" t="s">
        <v>68</v>
      </c>
      <c r="C442" s="78" t="s">
        <v>792</v>
      </c>
      <c r="D442" s="627" t="s">
        <v>793</v>
      </c>
      <c r="E442" s="628"/>
      <c r="F442" s="16"/>
      <c r="G442" s="574" t="s">
        <v>794</v>
      </c>
      <c r="H442" s="575"/>
      <c r="I442" s="576"/>
      <c r="J442" s="12"/>
      <c r="K442" s="61">
        <v>1200</v>
      </c>
      <c r="L442" s="63">
        <f t="shared" si="28"/>
        <v>97370.010000000111</v>
      </c>
      <c r="M442" s="25"/>
    </row>
    <row r="443" spans="2:13" x14ac:dyDescent="0.2">
      <c r="B443" s="64"/>
      <c r="C443" s="78"/>
      <c r="D443" s="78"/>
      <c r="E443" s="3"/>
      <c r="F443" s="16"/>
      <c r="G443" s="574" t="s">
        <v>795</v>
      </c>
      <c r="H443" s="575"/>
      <c r="I443" s="576"/>
      <c r="J443" s="12"/>
      <c r="K443" s="61">
        <v>700</v>
      </c>
      <c r="L443" s="63">
        <f t="shared" si="28"/>
        <v>96670.010000000111</v>
      </c>
      <c r="M443" s="25"/>
    </row>
    <row r="444" spans="2:13" ht="21" customHeight="1" x14ac:dyDescent="0.2">
      <c r="B444" s="64"/>
      <c r="C444" s="77"/>
      <c r="D444" s="78"/>
      <c r="E444" s="3"/>
      <c r="F444" s="16"/>
      <c r="G444" s="574" t="s">
        <v>796</v>
      </c>
      <c r="H444" s="575"/>
      <c r="I444" s="576"/>
      <c r="J444" s="12"/>
      <c r="K444" s="12">
        <v>1500</v>
      </c>
      <c r="L444" s="63">
        <f t="shared" si="28"/>
        <v>95170.010000000111</v>
      </c>
      <c r="M444" s="25"/>
    </row>
    <row r="445" spans="2:13" x14ac:dyDescent="0.2">
      <c r="B445" s="64"/>
      <c r="C445" s="349"/>
      <c r="D445" s="349"/>
      <c r="E445" s="3"/>
      <c r="F445" s="16"/>
      <c r="G445" s="571" t="s">
        <v>797</v>
      </c>
      <c r="H445" s="572"/>
      <c r="I445" s="573"/>
      <c r="J445" s="349"/>
      <c r="K445" s="70">
        <v>600</v>
      </c>
      <c r="L445" s="63">
        <f t="shared" si="28"/>
        <v>94570.010000000111</v>
      </c>
      <c r="M445" s="25"/>
    </row>
    <row r="446" spans="2:13" x14ac:dyDescent="0.2">
      <c r="B446" s="10"/>
      <c r="C446" s="77"/>
      <c r="D446" s="77"/>
      <c r="E446" s="3"/>
      <c r="F446" s="16"/>
      <c r="G446" s="81"/>
      <c r="H446" s="568"/>
      <c r="I446" s="570"/>
      <c r="J446" s="349"/>
      <c r="K446" s="70"/>
      <c r="L446" s="63">
        <f t="shared" si="28"/>
        <v>94570.010000000111</v>
      </c>
      <c r="M446" s="25"/>
    </row>
    <row r="447" spans="2:13" x14ac:dyDescent="0.2">
      <c r="B447" s="64"/>
      <c r="C447" s="77"/>
      <c r="D447" s="78"/>
      <c r="E447" s="3"/>
      <c r="F447" s="16"/>
      <c r="G447" s="81"/>
      <c r="H447" s="568"/>
      <c r="I447" s="570"/>
      <c r="J447" s="12"/>
      <c r="K447" s="12"/>
      <c r="L447" s="63">
        <f t="shared" si="28"/>
        <v>94570.010000000111</v>
      </c>
      <c r="M447" s="25"/>
    </row>
    <row r="448" spans="2:13" x14ac:dyDescent="0.2">
      <c r="B448" s="64"/>
      <c r="C448" s="78"/>
      <c r="D448" s="78"/>
      <c r="E448" s="3"/>
      <c r="F448" s="16"/>
      <c r="G448" s="69"/>
      <c r="H448" s="568"/>
      <c r="I448" s="570"/>
      <c r="J448" s="12"/>
      <c r="K448" s="12"/>
      <c r="L448" s="63">
        <f t="shared" si="28"/>
        <v>94570.010000000111</v>
      </c>
      <c r="M448" s="25"/>
    </row>
    <row r="449" spans="2:13" x14ac:dyDescent="0.2">
      <c r="B449" s="64"/>
      <c r="C449" s="78"/>
      <c r="D449" s="78"/>
      <c r="E449" s="3"/>
      <c r="F449" s="16"/>
      <c r="G449" s="81"/>
      <c r="H449" s="62"/>
      <c r="I449" s="12"/>
      <c r="J449" s="12"/>
      <c r="K449" s="12"/>
      <c r="L449" s="63">
        <f t="shared" si="28"/>
        <v>94570.010000000111</v>
      </c>
      <c r="M449" s="25"/>
    </row>
    <row r="450" spans="2:13" x14ac:dyDescent="0.2">
      <c r="B450" s="64"/>
      <c r="C450" s="78"/>
      <c r="D450" s="78"/>
      <c r="E450" s="3"/>
      <c r="F450" s="16"/>
      <c r="G450" s="81"/>
      <c r="H450" s="62"/>
      <c r="I450" s="12"/>
      <c r="J450" s="12"/>
      <c r="K450" s="12"/>
      <c r="L450" s="63">
        <f t="shared" si="28"/>
        <v>94570.010000000111</v>
      </c>
      <c r="M450" s="25"/>
    </row>
    <row r="451" spans="2:13" x14ac:dyDescent="0.2">
      <c r="B451" s="64"/>
      <c r="C451" s="78"/>
      <c r="D451" s="78"/>
      <c r="E451" s="3"/>
      <c r="F451" s="16"/>
      <c r="G451" s="81"/>
      <c r="H451" s="62"/>
      <c r="I451" s="12"/>
      <c r="J451" s="12"/>
      <c r="K451" s="12"/>
      <c r="L451" s="63">
        <f t="shared" si="28"/>
        <v>94570.010000000111</v>
      </c>
      <c r="M451" s="25"/>
    </row>
    <row r="452" spans="2:13" x14ac:dyDescent="0.2">
      <c r="B452" s="64"/>
      <c r="C452" s="78"/>
      <c r="D452" s="78"/>
      <c r="E452" s="3"/>
      <c r="F452" s="16"/>
      <c r="G452" s="81"/>
      <c r="H452" s="62"/>
      <c r="I452" s="12"/>
      <c r="J452" s="12"/>
      <c r="K452" s="12"/>
      <c r="L452" s="63">
        <f t="shared" si="28"/>
        <v>94570.010000000111</v>
      </c>
      <c r="M452" s="25"/>
    </row>
    <row r="453" spans="2:13" x14ac:dyDescent="0.2">
      <c r="B453" s="64"/>
      <c r="C453" s="78"/>
      <c r="D453" s="78"/>
      <c r="E453" s="3"/>
      <c r="F453" s="16"/>
      <c r="G453" s="81"/>
      <c r="H453" s="62"/>
      <c r="I453" s="12"/>
      <c r="J453" s="12"/>
      <c r="K453" s="12"/>
      <c r="L453" s="63">
        <f t="shared" si="28"/>
        <v>94570.010000000111</v>
      </c>
      <c r="M453" s="25"/>
    </row>
    <row r="454" spans="2:13" x14ac:dyDescent="0.2">
      <c r="B454" s="64"/>
      <c r="C454" s="65"/>
      <c r="D454" s="65"/>
      <c r="E454" s="13"/>
      <c r="F454" s="13"/>
      <c r="G454" s="81"/>
      <c r="H454" s="62"/>
      <c r="I454" s="12"/>
      <c r="J454" s="12"/>
      <c r="K454" s="12"/>
      <c r="L454" s="63">
        <f t="shared" si="28"/>
        <v>94570.010000000111</v>
      </c>
      <c r="M454" s="25"/>
    </row>
    <row r="455" spans="2:13" x14ac:dyDescent="0.2">
      <c r="B455" s="64"/>
      <c r="C455" s="65"/>
      <c r="D455" s="65"/>
      <c r="E455" s="3"/>
      <c r="F455" s="13"/>
      <c r="G455" s="81"/>
      <c r="H455" s="62"/>
      <c r="I455" s="12"/>
      <c r="J455" s="12"/>
      <c r="K455" s="12"/>
      <c r="L455" s="63">
        <f t="shared" si="28"/>
        <v>94570.010000000111</v>
      </c>
      <c r="M455" s="25"/>
    </row>
    <row r="456" spans="2:13" ht="12.75" thickBot="1" x14ac:dyDescent="0.25">
      <c r="B456" s="64"/>
      <c r="C456" s="65"/>
      <c r="D456" s="65"/>
      <c r="E456" s="13"/>
      <c r="F456" s="13"/>
      <c r="G456" s="104"/>
      <c r="H456" s="84"/>
      <c r="I456" s="12"/>
      <c r="J456" s="12"/>
      <c r="K456" s="12"/>
      <c r="L456" s="63"/>
      <c r="M456" s="25"/>
    </row>
    <row r="457" spans="2:13" x14ac:dyDescent="0.2">
      <c r="B457" s="56"/>
      <c r="C457" s="57"/>
      <c r="D457" s="57"/>
      <c r="E457" s="5"/>
      <c r="F457" s="5"/>
      <c r="G457" s="85" t="s">
        <v>67</v>
      </c>
      <c r="H457" s="107">
        <f>SUM(H384:H433)</f>
        <v>10146</v>
      </c>
      <c r="I457" s="105">
        <f>SUM(I384:I433)</f>
        <v>3246.7200000000003</v>
      </c>
      <c r="J457" s="106">
        <f>SUM(J384:J433)</f>
        <v>6899.2800000000034</v>
      </c>
      <c r="K457" s="106">
        <f>SUM(K438:K455)</f>
        <v>6990</v>
      </c>
      <c r="L457" s="108"/>
      <c r="M457" s="25"/>
    </row>
    <row r="458" spans="2:13" ht="12.75" thickBot="1" x14ac:dyDescent="0.25">
      <c r="B458" s="71"/>
      <c r="C458" s="72"/>
      <c r="D458" s="72"/>
      <c r="E458" s="73"/>
      <c r="F458" s="73"/>
      <c r="G458" s="86" t="s">
        <v>13</v>
      </c>
      <c r="H458" s="100"/>
      <c r="I458" s="99"/>
      <c r="J458" s="87"/>
      <c r="K458" s="87"/>
      <c r="L458" s="88">
        <f>+J457-K457+L383</f>
        <v>94570.010000000024</v>
      </c>
      <c r="M458" s="25"/>
    </row>
    <row r="459" spans="2:13" x14ac:dyDescent="0.2">
      <c r="B459" s="25"/>
      <c r="H459" s="74"/>
      <c r="I459" s="25"/>
      <c r="L459" s="25"/>
      <c r="M459" s="25"/>
    </row>
    <row r="460" spans="2:13" ht="12" customHeight="1" x14ac:dyDescent="0.2">
      <c r="B460" s="544" t="s">
        <v>48</v>
      </c>
      <c r="C460" s="545"/>
      <c r="D460" s="545"/>
      <c r="E460" s="545"/>
      <c r="F460" s="545"/>
      <c r="G460" s="545"/>
      <c r="H460" s="545"/>
      <c r="I460" s="545"/>
      <c r="J460" s="545"/>
      <c r="K460" s="545"/>
      <c r="L460" s="546"/>
      <c r="M460" s="25"/>
    </row>
    <row r="461" spans="2:13" x14ac:dyDescent="0.2">
      <c r="B461" s="547" t="s">
        <v>626</v>
      </c>
      <c r="C461" s="548"/>
      <c r="D461" s="548"/>
      <c r="E461" s="548"/>
      <c r="F461" s="548"/>
      <c r="G461" s="548"/>
      <c r="H461" s="548"/>
      <c r="I461" s="548"/>
      <c r="J461" s="548"/>
      <c r="K461" s="548"/>
      <c r="L461" s="549"/>
      <c r="M461" s="25"/>
    </row>
    <row r="462" spans="2:13" x14ac:dyDescent="0.2">
      <c r="B462" s="550" t="s">
        <v>50</v>
      </c>
      <c r="C462" s="550"/>
      <c r="D462" s="551" t="s">
        <v>51</v>
      </c>
      <c r="E462" s="551"/>
      <c r="F462" s="551"/>
      <c r="G462" s="366"/>
      <c r="H462" s="366"/>
      <c r="I462" s="366"/>
      <c r="J462" s="366"/>
      <c r="K462" s="366"/>
      <c r="L462" s="367"/>
      <c r="M462" s="25"/>
    </row>
    <row r="463" spans="2:13" ht="24" x14ac:dyDescent="0.2">
      <c r="B463" s="56" t="s">
        <v>1</v>
      </c>
      <c r="C463" s="57" t="s">
        <v>2</v>
      </c>
      <c r="D463" s="57" t="s">
        <v>2</v>
      </c>
      <c r="E463" s="5" t="s">
        <v>3</v>
      </c>
      <c r="F463" s="5" t="s">
        <v>4</v>
      </c>
      <c r="G463" s="89" t="s">
        <v>6</v>
      </c>
      <c r="H463" s="83" t="s">
        <v>7</v>
      </c>
      <c r="I463" s="83" t="s">
        <v>52</v>
      </c>
      <c r="J463" s="83" t="s">
        <v>53</v>
      </c>
      <c r="K463" s="5" t="s">
        <v>10</v>
      </c>
      <c r="L463" s="5" t="s">
        <v>11</v>
      </c>
      <c r="M463" s="25"/>
    </row>
    <row r="464" spans="2:13" x14ac:dyDescent="0.2">
      <c r="B464" s="58"/>
      <c r="C464" s="59"/>
      <c r="D464" s="59"/>
      <c r="E464" s="13"/>
      <c r="F464" s="13"/>
      <c r="G464" s="24"/>
      <c r="H464" s="60"/>
      <c r="I464" s="61"/>
      <c r="J464" s="61"/>
      <c r="K464" s="61"/>
      <c r="L464" s="60">
        <f>L458</f>
        <v>94570.010000000024</v>
      </c>
      <c r="M464" s="25"/>
    </row>
    <row r="465" spans="2:14" x14ac:dyDescent="0.2">
      <c r="B465" s="110">
        <v>44014</v>
      </c>
      <c r="C465" s="353"/>
      <c r="D465" s="11"/>
      <c r="E465" s="15"/>
      <c r="F465" s="15" t="s">
        <v>309</v>
      </c>
      <c r="G465" s="15"/>
      <c r="H465" s="112">
        <v>220</v>
      </c>
      <c r="I465" s="12">
        <f>H465*0.32</f>
        <v>70.400000000000006</v>
      </c>
      <c r="J465" s="12">
        <f>H465*0.68</f>
        <v>149.60000000000002</v>
      </c>
      <c r="K465" s="12"/>
      <c r="L465" s="63">
        <f>+J465-K465+L464</f>
        <v>94719.61000000003</v>
      </c>
      <c r="M465" s="25"/>
    </row>
    <row r="466" spans="2:14" x14ac:dyDescent="0.2">
      <c r="B466" s="110">
        <v>44015</v>
      </c>
      <c r="C466" s="353"/>
      <c r="D466" s="11"/>
      <c r="E466" s="15"/>
      <c r="F466" s="15" t="s">
        <v>309</v>
      </c>
      <c r="G466" s="15"/>
      <c r="H466" s="112">
        <v>220</v>
      </c>
      <c r="I466" s="12">
        <f t="shared" ref="I466:I473" si="31">H466*0.32</f>
        <v>70.400000000000006</v>
      </c>
      <c r="J466" s="12">
        <f t="shared" ref="J466:J500" si="32">H466*0.68</f>
        <v>149.60000000000002</v>
      </c>
      <c r="K466" s="12"/>
      <c r="L466" s="63">
        <f t="shared" ref="L466:L517" si="33">+J466-K466+L465</f>
        <v>94869.210000000036</v>
      </c>
      <c r="M466" s="25"/>
    </row>
    <row r="467" spans="2:14" x14ac:dyDescent="0.2">
      <c r="B467" s="110">
        <v>44027</v>
      </c>
      <c r="C467" s="353"/>
      <c r="D467" s="11"/>
      <c r="E467" s="15"/>
      <c r="F467" s="15" t="s">
        <v>309</v>
      </c>
      <c r="G467" s="15"/>
      <c r="H467" s="112">
        <v>660</v>
      </c>
      <c r="I467" s="12">
        <f t="shared" si="31"/>
        <v>211.20000000000002</v>
      </c>
      <c r="J467" s="12">
        <f>H467*0.68</f>
        <v>448.8</v>
      </c>
      <c r="K467" s="12"/>
      <c r="L467" s="63">
        <f t="shared" si="33"/>
        <v>95318.010000000038</v>
      </c>
      <c r="M467" s="25"/>
    </row>
    <row r="468" spans="2:14" x14ac:dyDescent="0.2">
      <c r="B468" s="110">
        <v>44028</v>
      </c>
      <c r="C468" s="353"/>
      <c r="D468" s="77"/>
      <c r="E468" s="15"/>
      <c r="F468" s="15" t="s">
        <v>309</v>
      </c>
      <c r="G468" s="15"/>
      <c r="H468" s="112">
        <v>220</v>
      </c>
      <c r="I468" s="12">
        <f t="shared" si="31"/>
        <v>70.400000000000006</v>
      </c>
      <c r="J468" s="12">
        <f t="shared" si="32"/>
        <v>149.60000000000002</v>
      </c>
      <c r="K468" s="12"/>
      <c r="L468" s="63">
        <f t="shared" si="33"/>
        <v>95467.610000000044</v>
      </c>
      <c r="M468" s="25"/>
    </row>
    <row r="469" spans="2:14" x14ac:dyDescent="0.2">
      <c r="B469" s="110">
        <v>44035</v>
      </c>
      <c r="C469" s="353"/>
      <c r="D469" s="77"/>
      <c r="E469" s="15"/>
      <c r="F469" s="15" t="s">
        <v>309</v>
      </c>
      <c r="G469" s="15"/>
      <c r="H469" s="112">
        <v>220</v>
      </c>
      <c r="I469" s="12">
        <f t="shared" si="31"/>
        <v>70.400000000000006</v>
      </c>
      <c r="J469" s="12">
        <f>H469*0.68</f>
        <v>149.60000000000002</v>
      </c>
      <c r="K469" s="12"/>
      <c r="L469" s="63">
        <f t="shared" si="33"/>
        <v>95617.21000000005</v>
      </c>
      <c r="M469" s="25"/>
    </row>
    <row r="470" spans="2:14" x14ac:dyDescent="0.2">
      <c r="B470" s="110">
        <v>44039</v>
      </c>
      <c r="C470" s="353"/>
      <c r="D470" s="77"/>
      <c r="E470" s="15"/>
      <c r="F470" s="15" t="s">
        <v>309</v>
      </c>
      <c r="G470" s="15"/>
      <c r="H470" s="112">
        <f>508-68</f>
        <v>440</v>
      </c>
      <c r="I470" s="12">
        <f t="shared" si="31"/>
        <v>140.80000000000001</v>
      </c>
      <c r="J470" s="12">
        <f t="shared" si="32"/>
        <v>299.20000000000005</v>
      </c>
      <c r="K470" s="12"/>
      <c r="L470" s="63">
        <f t="shared" si="33"/>
        <v>95916.410000000047</v>
      </c>
      <c r="M470" s="25"/>
      <c r="N470" s="26" t="s">
        <v>825</v>
      </c>
    </row>
    <row r="471" spans="2:14" x14ac:dyDescent="0.2">
      <c r="B471" s="110"/>
      <c r="C471" s="353"/>
      <c r="D471" s="77"/>
      <c r="E471" s="15"/>
      <c r="F471" s="15"/>
      <c r="G471" s="15"/>
      <c r="H471" s="112"/>
      <c r="I471" s="12">
        <f t="shared" si="31"/>
        <v>0</v>
      </c>
      <c r="J471" s="12">
        <f t="shared" si="32"/>
        <v>0</v>
      </c>
      <c r="K471" s="12"/>
      <c r="L471" s="63">
        <f t="shared" si="33"/>
        <v>95916.410000000047</v>
      </c>
      <c r="M471" s="25"/>
    </row>
    <row r="472" spans="2:14" x14ac:dyDescent="0.2">
      <c r="B472" s="110"/>
      <c r="C472" s="353"/>
      <c r="D472" s="77"/>
      <c r="E472" s="15"/>
      <c r="F472" s="15"/>
      <c r="G472" s="15"/>
      <c r="H472" s="112"/>
      <c r="I472" s="12">
        <f t="shared" si="31"/>
        <v>0</v>
      </c>
      <c r="J472" s="12">
        <f t="shared" si="32"/>
        <v>0</v>
      </c>
      <c r="K472" s="12"/>
      <c r="L472" s="63">
        <f t="shared" si="33"/>
        <v>95916.410000000047</v>
      </c>
      <c r="M472" s="25"/>
    </row>
    <row r="473" spans="2:14" x14ac:dyDescent="0.2">
      <c r="B473" s="442">
        <v>44013</v>
      </c>
      <c r="C473" s="443" t="s">
        <v>826</v>
      </c>
      <c r="D473" s="450"/>
      <c r="E473" s="446"/>
      <c r="F473" s="446"/>
      <c r="G473" s="446"/>
      <c r="H473" s="447">
        <v>440</v>
      </c>
      <c r="I473" s="12">
        <f t="shared" si="31"/>
        <v>140.80000000000001</v>
      </c>
      <c r="J473" s="12">
        <f t="shared" si="32"/>
        <v>299.20000000000005</v>
      </c>
      <c r="K473" s="12"/>
      <c r="L473" s="63">
        <f t="shared" si="33"/>
        <v>96215.610000000044</v>
      </c>
      <c r="M473" s="25"/>
    </row>
    <row r="474" spans="2:14" x14ac:dyDescent="0.2">
      <c r="B474" s="442">
        <v>44015</v>
      </c>
      <c r="C474" s="443" t="s">
        <v>826</v>
      </c>
      <c r="D474" s="451"/>
      <c r="E474" s="446"/>
      <c r="F474" s="446"/>
      <c r="G474" s="446"/>
      <c r="H474" s="447">
        <v>328</v>
      </c>
      <c r="I474" s="12">
        <f>H474*0.32</f>
        <v>104.96000000000001</v>
      </c>
      <c r="J474" s="12">
        <f t="shared" si="32"/>
        <v>223.04000000000002</v>
      </c>
      <c r="K474" s="12"/>
      <c r="L474" s="63">
        <f t="shared" si="33"/>
        <v>96438.650000000038</v>
      </c>
      <c r="M474" s="25"/>
    </row>
    <row r="475" spans="2:14" x14ac:dyDescent="0.2">
      <c r="B475" s="442">
        <v>44026</v>
      </c>
      <c r="C475" s="443" t="s">
        <v>826</v>
      </c>
      <c r="D475" s="451"/>
      <c r="E475" s="446"/>
      <c r="F475" s="446"/>
      <c r="G475" s="446"/>
      <c r="H475" s="447">
        <v>528</v>
      </c>
      <c r="I475" s="12">
        <f>H475*0.32</f>
        <v>168.96</v>
      </c>
      <c r="J475" s="12">
        <f t="shared" si="32"/>
        <v>359.04</v>
      </c>
      <c r="K475" s="12"/>
      <c r="L475" s="63">
        <f t="shared" si="33"/>
        <v>96797.690000000031</v>
      </c>
      <c r="M475" s="25"/>
    </row>
    <row r="476" spans="2:14" x14ac:dyDescent="0.2">
      <c r="B476" s="442">
        <v>44027</v>
      </c>
      <c r="C476" s="443" t="s">
        <v>826</v>
      </c>
      <c r="D476" s="451"/>
      <c r="E476" s="446"/>
      <c r="F476" s="446"/>
      <c r="G476" s="446"/>
      <c r="H476" s="447">
        <v>1100</v>
      </c>
      <c r="I476" s="12">
        <f>H476*0.32</f>
        <v>352</v>
      </c>
      <c r="J476" s="12">
        <f t="shared" si="32"/>
        <v>748</v>
      </c>
      <c r="K476" s="12"/>
      <c r="L476" s="63">
        <f t="shared" si="33"/>
        <v>97545.690000000031</v>
      </c>
      <c r="M476" s="25"/>
    </row>
    <row r="477" spans="2:14" x14ac:dyDescent="0.2">
      <c r="B477" s="442">
        <v>44028</v>
      </c>
      <c r="C477" s="443" t="s">
        <v>826</v>
      </c>
      <c r="D477" s="451"/>
      <c r="E477" s="446"/>
      <c r="F477" s="446"/>
      <c r="G477" s="446"/>
      <c r="H477" s="447">
        <v>220</v>
      </c>
      <c r="I477" s="12">
        <f t="shared" ref="I477:I500" si="34">H477*0.32</f>
        <v>70.400000000000006</v>
      </c>
      <c r="J477" s="12">
        <f t="shared" si="32"/>
        <v>149.60000000000002</v>
      </c>
      <c r="K477" s="12"/>
      <c r="L477" s="63">
        <f t="shared" si="33"/>
        <v>97695.290000000037</v>
      </c>
      <c r="M477" s="25"/>
    </row>
    <row r="478" spans="2:14" x14ac:dyDescent="0.2">
      <c r="B478" s="442">
        <v>44029</v>
      </c>
      <c r="C478" s="443" t="s">
        <v>826</v>
      </c>
      <c r="D478" s="451"/>
      <c r="E478" s="446"/>
      <c r="F478" s="446"/>
      <c r="G478" s="446"/>
      <c r="H478" s="447">
        <v>220</v>
      </c>
      <c r="I478" s="12">
        <f t="shared" si="34"/>
        <v>70.400000000000006</v>
      </c>
      <c r="J478" s="12">
        <f t="shared" si="32"/>
        <v>149.60000000000002</v>
      </c>
      <c r="K478" s="12"/>
      <c r="L478" s="63">
        <f t="shared" si="33"/>
        <v>97844.890000000043</v>
      </c>
      <c r="M478" s="25"/>
    </row>
    <row r="479" spans="2:14" x14ac:dyDescent="0.2">
      <c r="B479" s="442">
        <v>44032</v>
      </c>
      <c r="C479" s="443" t="s">
        <v>826</v>
      </c>
      <c r="D479" s="451"/>
      <c r="E479" s="446"/>
      <c r="F479" s="446"/>
      <c r="G479" s="446"/>
      <c r="H479" s="447">
        <v>220</v>
      </c>
      <c r="I479" s="12">
        <f t="shared" si="34"/>
        <v>70.400000000000006</v>
      </c>
      <c r="J479" s="12">
        <f t="shared" si="32"/>
        <v>149.60000000000002</v>
      </c>
      <c r="K479" s="12"/>
      <c r="L479" s="63">
        <f t="shared" si="33"/>
        <v>97994.490000000049</v>
      </c>
      <c r="M479" s="25"/>
    </row>
    <row r="480" spans="2:14" x14ac:dyDescent="0.2">
      <c r="B480" s="442">
        <v>44037</v>
      </c>
      <c r="C480" s="443" t="s">
        <v>826</v>
      </c>
      <c r="D480" s="451"/>
      <c r="E480" s="446"/>
      <c r="F480" s="446"/>
      <c r="G480" s="446"/>
      <c r="H480" s="447">
        <v>110</v>
      </c>
      <c r="I480" s="12">
        <f t="shared" si="34"/>
        <v>35.200000000000003</v>
      </c>
      <c r="J480" s="12">
        <f t="shared" si="32"/>
        <v>74.800000000000011</v>
      </c>
      <c r="K480" s="12"/>
      <c r="L480" s="63">
        <f t="shared" si="33"/>
        <v>98069.290000000052</v>
      </c>
      <c r="M480" s="25"/>
    </row>
    <row r="481" spans="2:13" x14ac:dyDescent="0.2">
      <c r="B481" s="442">
        <v>44043</v>
      </c>
      <c r="C481" s="443" t="s">
        <v>826</v>
      </c>
      <c r="D481" s="451"/>
      <c r="E481" s="446"/>
      <c r="F481" s="446"/>
      <c r="G481" s="446"/>
      <c r="H481" s="447">
        <v>440</v>
      </c>
      <c r="I481" s="12">
        <f t="shared" si="34"/>
        <v>140.80000000000001</v>
      </c>
      <c r="J481" s="12">
        <f t="shared" si="32"/>
        <v>299.20000000000005</v>
      </c>
      <c r="K481" s="12"/>
      <c r="L481" s="63">
        <f t="shared" si="33"/>
        <v>98368.490000000049</v>
      </c>
      <c r="M481" s="25"/>
    </row>
    <row r="482" spans="2:13" x14ac:dyDescent="0.2">
      <c r="B482" s="110"/>
      <c r="C482" s="353"/>
      <c r="D482" s="11"/>
      <c r="E482" s="15"/>
      <c r="F482" s="15"/>
      <c r="G482" s="15"/>
      <c r="H482" s="112"/>
      <c r="I482" s="12">
        <f t="shared" si="34"/>
        <v>0</v>
      </c>
      <c r="J482" s="12">
        <f t="shared" si="32"/>
        <v>0</v>
      </c>
      <c r="K482" s="12"/>
      <c r="L482" s="63">
        <f t="shared" si="33"/>
        <v>98368.490000000049</v>
      </c>
      <c r="M482" s="25"/>
    </row>
    <row r="483" spans="2:13" x14ac:dyDescent="0.2">
      <c r="B483" s="110"/>
      <c r="C483" s="353"/>
      <c r="D483" s="11"/>
      <c r="E483" s="15"/>
      <c r="F483" s="15"/>
      <c r="G483" s="15"/>
      <c r="H483" s="112"/>
      <c r="I483" s="12">
        <f t="shared" si="34"/>
        <v>0</v>
      </c>
      <c r="J483" s="12">
        <f t="shared" si="32"/>
        <v>0</v>
      </c>
      <c r="K483" s="12"/>
      <c r="L483" s="63">
        <f t="shared" si="33"/>
        <v>98368.490000000049</v>
      </c>
      <c r="M483" s="25"/>
    </row>
    <row r="484" spans="2:13" x14ac:dyDescent="0.2">
      <c r="B484" s="453">
        <v>44013</v>
      </c>
      <c r="C484" s="457" t="s">
        <v>826</v>
      </c>
      <c r="D484" s="454" t="s">
        <v>829</v>
      </c>
      <c r="E484" s="455"/>
      <c r="F484" s="455"/>
      <c r="G484" s="455"/>
      <c r="H484" s="456">
        <v>220</v>
      </c>
      <c r="I484" s="12">
        <f t="shared" si="34"/>
        <v>70.400000000000006</v>
      </c>
      <c r="J484" s="12">
        <f t="shared" si="32"/>
        <v>149.60000000000002</v>
      </c>
      <c r="K484" s="12"/>
      <c r="L484" s="63">
        <f t="shared" si="33"/>
        <v>98518.090000000055</v>
      </c>
      <c r="M484" s="25"/>
    </row>
    <row r="485" spans="2:13" x14ac:dyDescent="0.2">
      <c r="B485" s="453">
        <v>44023</v>
      </c>
      <c r="C485" s="457" t="s">
        <v>826</v>
      </c>
      <c r="D485" s="454" t="s">
        <v>829</v>
      </c>
      <c r="E485" s="455"/>
      <c r="F485" s="455"/>
      <c r="G485" s="455"/>
      <c r="H485" s="456">
        <v>144</v>
      </c>
      <c r="I485" s="12">
        <f t="shared" si="34"/>
        <v>46.08</v>
      </c>
      <c r="J485" s="12">
        <f t="shared" si="32"/>
        <v>97.92</v>
      </c>
      <c r="K485" s="12"/>
      <c r="L485" s="63">
        <f t="shared" si="33"/>
        <v>98616.010000000053</v>
      </c>
      <c r="M485" s="25"/>
    </row>
    <row r="486" spans="2:13" x14ac:dyDescent="0.2">
      <c r="B486" s="453">
        <v>44019</v>
      </c>
      <c r="C486" s="457" t="s">
        <v>826</v>
      </c>
      <c r="D486" s="454" t="s">
        <v>829</v>
      </c>
      <c r="E486" s="455"/>
      <c r="F486" s="455"/>
      <c r="G486" s="455"/>
      <c r="H486" s="456">
        <v>398</v>
      </c>
      <c r="I486" s="12">
        <f t="shared" si="34"/>
        <v>127.36</v>
      </c>
      <c r="J486" s="12">
        <f t="shared" si="32"/>
        <v>270.64000000000004</v>
      </c>
      <c r="K486" s="12"/>
      <c r="L486" s="63">
        <f t="shared" si="33"/>
        <v>98886.650000000052</v>
      </c>
      <c r="M486" s="25"/>
    </row>
    <row r="487" spans="2:13" x14ac:dyDescent="0.2">
      <c r="B487" s="453"/>
      <c r="C487" s="457"/>
      <c r="D487" s="454"/>
      <c r="E487" s="455"/>
      <c r="F487" s="455"/>
      <c r="G487" s="455"/>
      <c r="H487" s="456"/>
      <c r="I487" s="12">
        <f t="shared" si="34"/>
        <v>0</v>
      </c>
      <c r="J487" s="12">
        <f t="shared" si="32"/>
        <v>0</v>
      </c>
      <c r="K487" s="12"/>
      <c r="L487" s="63">
        <f t="shared" si="33"/>
        <v>98886.650000000052</v>
      </c>
      <c r="M487" s="25"/>
    </row>
    <row r="488" spans="2:13" x14ac:dyDescent="0.2">
      <c r="B488" s="453"/>
      <c r="C488" s="457"/>
      <c r="D488" s="454"/>
      <c r="E488" s="455"/>
      <c r="F488" s="455"/>
      <c r="G488" s="455"/>
      <c r="H488" s="456"/>
      <c r="I488" s="12">
        <f t="shared" si="34"/>
        <v>0</v>
      </c>
      <c r="J488" s="12">
        <f t="shared" si="32"/>
        <v>0</v>
      </c>
      <c r="K488" s="12"/>
      <c r="L488" s="63">
        <f t="shared" si="33"/>
        <v>98886.650000000052</v>
      </c>
      <c r="M488" s="25"/>
    </row>
    <row r="489" spans="2:13" x14ac:dyDescent="0.2">
      <c r="B489" s="453"/>
      <c r="C489" s="457"/>
      <c r="D489" s="454"/>
      <c r="E489" s="455"/>
      <c r="F489" s="455"/>
      <c r="G489" s="455"/>
      <c r="H489" s="456"/>
      <c r="I489" s="12">
        <f t="shared" si="34"/>
        <v>0</v>
      </c>
      <c r="J489" s="12">
        <f t="shared" si="32"/>
        <v>0</v>
      </c>
      <c r="K489" s="12"/>
      <c r="L489" s="63">
        <f t="shared" si="33"/>
        <v>98886.650000000052</v>
      </c>
      <c r="M489" s="25"/>
    </row>
    <row r="490" spans="2:13" x14ac:dyDescent="0.2">
      <c r="B490" s="461">
        <v>44023</v>
      </c>
      <c r="C490" s="462" t="s">
        <v>826</v>
      </c>
      <c r="D490" s="463" t="s">
        <v>833</v>
      </c>
      <c r="E490" s="464"/>
      <c r="F490" s="464"/>
      <c r="G490" s="464"/>
      <c r="H490" s="465">
        <v>144</v>
      </c>
      <c r="I490" s="12">
        <f t="shared" si="34"/>
        <v>46.08</v>
      </c>
      <c r="J490" s="12">
        <f t="shared" si="32"/>
        <v>97.92</v>
      </c>
      <c r="K490" s="12"/>
      <c r="L490" s="63">
        <f t="shared" si="33"/>
        <v>98984.570000000051</v>
      </c>
      <c r="M490" s="25"/>
    </row>
    <row r="491" spans="2:13" x14ac:dyDescent="0.2">
      <c r="B491" s="461">
        <v>44028</v>
      </c>
      <c r="C491" s="462" t="s">
        <v>826</v>
      </c>
      <c r="D491" s="463" t="s">
        <v>829</v>
      </c>
      <c r="E491" s="464"/>
      <c r="F491" s="464"/>
      <c r="G491" s="464"/>
      <c r="H491" s="465">
        <v>330</v>
      </c>
      <c r="I491" s="12">
        <f t="shared" si="34"/>
        <v>105.60000000000001</v>
      </c>
      <c r="J491" s="12">
        <f t="shared" si="32"/>
        <v>224.4</v>
      </c>
      <c r="K491" s="12"/>
      <c r="L491" s="63">
        <f t="shared" si="33"/>
        <v>99208.970000000045</v>
      </c>
      <c r="M491" s="25"/>
    </row>
    <row r="492" spans="2:13" x14ac:dyDescent="0.2">
      <c r="B492" s="110"/>
      <c r="C492" s="353"/>
      <c r="D492" s="65"/>
      <c r="E492" s="13"/>
      <c r="F492" s="15"/>
      <c r="G492" s="15"/>
      <c r="H492" s="112"/>
      <c r="I492" s="12">
        <f t="shared" si="34"/>
        <v>0</v>
      </c>
      <c r="J492" s="12">
        <f t="shared" si="32"/>
        <v>0</v>
      </c>
      <c r="K492" s="12"/>
      <c r="L492" s="63">
        <f t="shared" si="33"/>
        <v>99208.970000000045</v>
      </c>
      <c r="M492" s="25"/>
    </row>
    <row r="493" spans="2:13" x14ac:dyDescent="0.2">
      <c r="B493" s="110"/>
      <c r="C493" s="353"/>
      <c r="D493" s="65"/>
      <c r="E493" s="13"/>
      <c r="F493" s="15"/>
      <c r="G493" s="15"/>
      <c r="H493" s="112"/>
      <c r="I493" s="12">
        <f t="shared" si="34"/>
        <v>0</v>
      </c>
      <c r="J493" s="12">
        <f t="shared" si="32"/>
        <v>0</v>
      </c>
      <c r="K493" s="12"/>
      <c r="L493" s="63">
        <f t="shared" si="33"/>
        <v>99208.970000000045</v>
      </c>
      <c r="M493" s="25"/>
    </row>
    <row r="494" spans="2:13" x14ac:dyDescent="0.2">
      <c r="B494" s="110"/>
      <c r="C494" s="353"/>
      <c r="D494" s="65"/>
      <c r="E494" s="13"/>
      <c r="F494" s="15"/>
      <c r="G494" s="15"/>
      <c r="H494" s="112"/>
      <c r="I494" s="12">
        <f t="shared" si="34"/>
        <v>0</v>
      </c>
      <c r="J494" s="12">
        <f t="shared" si="32"/>
        <v>0</v>
      </c>
      <c r="K494" s="12"/>
      <c r="L494" s="63">
        <f t="shared" si="33"/>
        <v>99208.970000000045</v>
      </c>
      <c r="M494" s="25"/>
    </row>
    <row r="495" spans="2:13" x14ac:dyDescent="0.2">
      <c r="B495" s="110"/>
      <c r="C495" s="353"/>
      <c r="D495" s="65"/>
      <c r="E495" s="13"/>
      <c r="F495" s="15"/>
      <c r="G495" s="15"/>
      <c r="H495" s="112"/>
      <c r="I495" s="12">
        <f t="shared" si="34"/>
        <v>0</v>
      </c>
      <c r="J495" s="12">
        <f t="shared" si="32"/>
        <v>0</v>
      </c>
      <c r="K495" s="12"/>
      <c r="L495" s="63">
        <f t="shared" si="33"/>
        <v>99208.970000000045</v>
      </c>
      <c r="M495" s="25"/>
    </row>
    <row r="496" spans="2:13" x14ac:dyDescent="0.2">
      <c r="B496" s="110"/>
      <c r="C496" s="353"/>
      <c r="D496" s="65"/>
      <c r="E496" s="13"/>
      <c r="F496" s="15"/>
      <c r="G496" s="15"/>
      <c r="H496" s="112"/>
      <c r="I496" s="12">
        <f t="shared" si="34"/>
        <v>0</v>
      </c>
      <c r="J496" s="12">
        <f t="shared" si="32"/>
        <v>0</v>
      </c>
      <c r="K496" s="12"/>
      <c r="L496" s="63">
        <f t="shared" si="33"/>
        <v>99208.970000000045</v>
      </c>
      <c r="M496" s="25"/>
    </row>
    <row r="497" spans="2:13" x14ac:dyDescent="0.2">
      <c r="B497" s="110"/>
      <c r="C497" s="353"/>
      <c r="D497" s="65"/>
      <c r="E497" s="13"/>
      <c r="F497" s="15"/>
      <c r="G497" s="15"/>
      <c r="H497" s="112"/>
      <c r="I497" s="12">
        <f t="shared" si="34"/>
        <v>0</v>
      </c>
      <c r="J497" s="12">
        <f t="shared" si="32"/>
        <v>0</v>
      </c>
      <c r="K497" s="12"/>
      <c r="L497" s="63">
        <f t="shared" si="33"/>
        <v>99208.970000000045</v>
      </c>
      <c r="M497" s="25"/>
    </row>
    <row r="498" spans="2:13" x14ac:dyDescent="0.2">
      <c r="B498" s="110"/>
      <c r="C498" s="353"/>
      <c r="D498" s="65"/>
      <c r="E498" s="13"/>
      <c r="F498" s="15"/>
      <c r="G498" s="15"/>
      <c r="H498" s="112"/>
      <c r="I498" s="12">
        <f t="shared" si="34"/>
        <v>0</v>
      </c>
      <c r="J498" s="12">
        <f t="shared" si="32"/>
        <v>0</v>
      </c>
      <c r="K498" s="12"/>
      <c r="L498" s="63">
        <f t="shared" si="33"/>
        <v>99208.970000000045</v>
      </c>
      <c r="M498" s="25"/>
    </row>
    <row r="499" spans="2:13" x14ac:dyDescent="0.2">
      <c r="B499" s="110"/>
      <c r="C499" s="353"/>
      <c r="D499" s="65"/>
      <c r="E499" s="13"/>
      <c r="F499" s="15"/>
      <c r="G499" s="15"/>
      <c r="H499" s="112"/>
      <c r="I499" s="12">
        <f t="shared" si="34"/>
        <v>0</v>
      </c>
      <c r="J499" s="12">
        <f t="shared" si="32"/>
        <v>0</v>
      </c>
      <c r="K499" s="12"/>
      <c r="L499" s="63">
        <f t="shared" si="33"/>
        <v>99208.970000000045</v>
      </c>
      <c r="M499" s="25"/>
    </row>
    <row r="500" spans="2:13" x14ac:dyDescent="0.2">
      <c r="B500" s="110"/>
      <c r="C500" s="353"/>
      <c r="D500" s="65"/>
      <c r="E500" s="13"/>
      <c r="F500" s="15"/>
      <c r="G500" s="15"/>
      <c r="H500" s="112"/>
      <c r="I500" s="12">
        <f t="shared" si="34"/>
        <v>0</v>
      </c>
      <c r="J500" s="12">
        <f t="shared" si="32"/>
        <v>0</v>
      </c>
      <c r="K500" s="12"/>
      <c r="L500" s="63">
        <f t="shared" si="33"/>
        <v>99208.970000000045</v>
      </c>
      <c r="M500" s="25"/>
    </row>
    <row r="501" spans="2:13" x14ac:dyDescent="0.2">
      <c r="B501" s="110"/>
      <c r="C501" s="353"/>
      <c r="D501" s="65"/>
      <c r="E501" s="13"/>
      <c r="F501" s="15"/>
      <c r="G501" s="15"/>
      <c r="H501" s="112"/>
      <c r="I501" s="12">
        <f t="shared" ref="I501:I505" si="35">H501*0.32</f>
        <v>0</v>
      </c>
      <c r="J501" s="12">
        <f t="shared" ref="J501:J505" si="36">H501*0.68</f>
        <v>0</v>
      </c>
      <c r="K501" s="12"/>
      <c r="L501" s="63">
        <f>+J501-K501+L500</f>
        <v>99208.970000000045</v>
      </c>
      <c r="M501" s="25"/>
    </row>
    <row r="502" spans="2:13" x14ac:dyDescent="0.2">
      <c r="B502" s="110"/>
      <c r="C502" s="353"/>
      <c r="D502" s="65"/>
      <c r="E502" s="13"/>
      <c r="F502" s="15"/>
      <c r="G502" s="15"/>
      <c r="H502" s="112"/>
      <c r="I502" s="12">
        <f t="shared" si="35"/>
        <v>0</v>
      </c>
      <c r="J502" s="12">
        <f t="shared" si="36"/>
        <v>0</v>
      </c>
      <c r="K502" s="12"/>
      <c r="L502" s="63">
        <f t="shared" si="33"/>
        <v>99208.970000000045</v>
      </c>
      <c r="M502" s="25"/>
    </row>
    <row r="503" spans="2:13" x14ac:dyDescent="0.2">
      <c r="B503" s="110"/>
      <c r="C503" s="353"/>
      <c r="D503" s="65"/>
      <c r="E503" s="13"/>
      <c r="F503" s="15"/>
      <c r="G503" s="15"/>
      <c r="H503" s="112"/>
      <c r="I503" s="12">
        <f t="shared" si="35"/>
        <v>0</v>
      </c>
      <c r="J503" s="12">
        <f t="shared" si="36"/>
        <v>0</v>
      </c>
      <c r="K503" s="12"/>
      <c r="L503" s="63">
        <f t="shared" si="33"/>
        <v>99208.970000000045</v>
      </c>
      <c r="M503" s="25"/>
    </row>
    <row r="504" spans="2:13" x14ac:dyDescent="0.2">
      <c r="B504" s="110"/>
      <c r="C504" s="353"/>
      <c r="D504" s="65"/>
      <c r="E504" s="13"/>
      <c r="F504" s="15"/>
      <c r="G504" s="15"/>
      <c r="H504" s="112"/>
      <c r="I504" s="12">
        <f t="shared" si="35"/>
        <v>0</v>
      </c>
      <c r="J504" s="12">
        <f t="shared" si="36"/>
        <v>0</v>
      </c>
      <c r="K504" s="12"/>
      <c r="L504" s="63">
        <f t="shared" si="33"/>
        <v>99208.970000000045</v>
      </c>
      <c r="M504" s="25"/>
    </row>
    <row r="505" spans="2:13" x14ac:dyDescent="0.2">
      <c r="B505" s="110"/>
      <c r="C505" s="65"/>
      <c r="D505" s="65"/>
      <c r="E505" s="13"/>
      <c r="F505" s="15"/>
      <c r="G505" s="66"/>
      <c r="H505" s="112"/>
      <c r="I505" s="12">
        <f t="shared" si="35"/>
        <v>0</v>
      </c>
      <c r="J505" s="12">
        <f t="shared" si="36"/>
        <v>0</v>
      </c>
      <c r="K505" s="12"/>
      <c r="L505" s="63">
        <f t="shared" si="33"/>
        <v>99208.970000000045</v>
      </c>
      <c r="M505" s="25"/>
    </row>
    <row r="506" spans="2:13" x14ac:dyDescent="0.2">
      <c r="B506" s="547" t="s">
        <v>343</v>
      </c>
      <c r="C506" s="548"/>
      <c r="D506" s="548"/>
      <c r="E506" s="548"/>
      <c r="F506" s="548"/>
      <c r="G506" s="548"/>
      <c r="H506" s="548"/>
      <c r="I506" s="548"/>
      <c r="J506" s="548"/>
      <c r="K506" s="549"/>
      <c r="L506" s="63">
        <f t="shared" si="33"/>
        <v>99208.970000000045</v>
      </c>
      <c r="M506" s="25"/>
    </row>
    <row r="507" spans="2:13" x14ac:dyDescent="0.2">
      <c r="B507" s="552" t="s">
        <v>56</v>
      </c>
      <c r="C507" s="553"/>
      <c r="D507" s="554" t="s">
        <v>51</v>
      </c>
      <c r="E507" s="554"/>
      <c r="F507" s="554"/>
      <c r="G507" s="94"/>
      <c r="H507" s="95"/>
      <c r="I507" s="96"/>
      <c r="J507" s="96"/>
      <c r="K507" s="97"/>
      <c r="L507" s="63">
        <f t="shared" si="33"/>
        <v>99208.970000000045</v>
      </c>
      <c r="M507" s="25"/>
    </row>
    <row r="508" spans="2:13" x14ac:dyDescent="0.2">
      <c r="B508" s="91" t="s">
        <v>1</v>
      </c>
      <c r="C508" s="92" t="s">
        <v>57</v>
      </c>
      <c r="D508" s="92" t="s">
        <v>2</v>
      </c>
      <c r="E508" s="368" t="s">
        <v>3</v>
      </c>
      <c r="F508" s="368" t="s">
        <v>4</v>
      </c>
      <c r="G508" s="561" t="s">
        <v>58</v>
      </c>
      <c r="H508" s="562"/>
      <c r="I508" s="562"/>
      <c r="J508" s="563"/>
      <c r="K508" s="90"/>
      <c r="L508" s="63">
        <f t="shared" si="33"/>
        <v>99208.970000000045</v>
      </c>
      <c r="M508" s="25"/>
    </row>
    <row r="509" spans="2:13" ht="48" customHeight="1" x14ac:dyDescent="0.2">
      <c r="B509" s="64">
        <v>44025</v>
      </c>
      <c r="C509" s="349" t="s">
        <v>786</v>
      </c>
      <c r="D509" s="349"/>
      <c r="E509" s="3"/>
      <c r="F509" s="16"/>
      <c r="G509" s="621" t="s">
        <v>787</v>
      </c>
      <c r="H509" s="622"/>
      <c r="I509" s="623"/>
      <c r="J509" s="349"/>
      <c r="K509" s="70">
        <v>800</v>
      </c>
      <c r="L509" s="63">
        <f t="shared" si="33"/>
        <v>98408.970000000045</v>
      </c>
      <c r="M509" s="25"/>
    </row>
    <row r="510" spans="2:13" ht="57" customHeight="1" x14ac:dyDescent="0.2">
      <c r="B510" s="64"/>
      <c r="C510" s="77"/>
      <c r="D510" s="78"/>
      <c r="E510" s="3"/>
      <c r="F510" s="16"/>
      <c r="G510" s="621" t="s">
        <v>798</v>
      </c>
      <c r="H510" s="622"/>
      <c r="I510" s="623"/>
      <c r="J510" s="12"/>
      <c r="K510" s="12">
        <v>800</v>
      </c>
      <c r="L510" s="63">
        <f t="shared" si="33"/>
        <v>97608.970000000045</v>
      </c>
      <c r="M510" s="25"/>
    </row>
    <row r="511" spans="2:13" x14ac:dyDescent="0.2">
      <c r="B511" s="64"/>
      <c r="C511" s="78"/>
      <c r="D511" s="78"/>
      <c r="E511" s="3"/>
      <c r="F511" s="16"/>
      <c r="G511" s="624"/>
      <c r="H511" s="625"/>
      <c r="I511" s="626"/>
      <c r="J511" s="440"/>
      <c r="K511" s="441"/>
      <c r="L511" s="63">
        <f t="shared" si="33"/>
        <v>97608.970000000045</v>
      </c>
      <c r="M511" s="25"/>
    </row>
    <row r="512" spans="2:13" x14ac:dyDescent="0.2">
      <c r="B512" s="64" t="s">
        <v>800</v>
      </c>
      <c r="C512" s="78" t="s">
        <v>801</v>
      </c>
      <c r="D512" s="78" t="s">
        <v>802</v>
      </c>
      <c r="E512" s="3"/>
      <c r="F512" s="16"/>
      <c r="G512" s="615" t="s">
        <v>803</v>
      </c>
      <c r="H512" s="616"/>
      <c r="I512" s="617"/>
      <c r="J512" s="440"/>
      <c r="K512" s="441">
        <v>1500</v>
      </c>
      <c r="L512" s="63">
        <f t="shared" si="33"/>
        <v>96108.970000000045</v>
      </c>
      <c r="M512" s="25"/>
    </row>
    <row r="513" spans="2:13" x14ac:dyDescent="0.2">
      <c r="B513" s="64"/>
      <c r="C513" s="78"/>
      <c r="D513" s="78"/>
      <c r="E513" s="3"/>
      <c r="F513" s="16"/>
      <c r="G513" s="615" t="s">
        <v>795</v>
      </c>
      <c r="H513" s="616"/>
      <c r="I513" s="617"/>
      <c r="J513" s="440"/>
      <c r="K513" s="441">
        <v>850</v>
      </c>
      <c r="L513" s="63">
        <f t="shared" si="33"/>
        <v>95258.970000000045</v>
      </c>
      <c r="M513" s="25"/>
    </row>
    <row r="514" spans="2:13" ht="26.25" customHeight="1" x14ac:dyDescent="0.2">
      <c r="B514" s="64"/>
      <c r="C514" s="77"/>
      <c r="D514" s="78"/>
      <c r="E514" s="3"/>
      <c r="F514" s="16"/>
      <c r="G514" s="615" t="s">
        <v>796</v>
      </c>
      <c r="H514" s="616"/>
      <c r="I514" s="617"/>
      <c r="J514" s="440"/>
      <c r="K514" s="441">
        <v>1500</v>
      </c>
      <c r="L514" s="63">
        <f t="shared" si="33"/>
        <v>93758.970000000045</v>
      </c>
      <c r="M514" s="25"/>
    </row>
    <row r="515" spans="2:13" ht="39" customHeight="1" x14ac:dyDescent="0.2">
      <c r="B515" s="64"/>
      <c r="C515" s="77"/>
      <c r="D515" s="78"/>
      <c r="E515" s="3"/>
      <c r="F515" s="16"/>
      <c r="G515" s="615" t="s">
        <v>799</v>
      </c>
      <c r="H515" s="616"/>
      <c r="I515" s="617"/>
      <c r="J515" s="440"/>
      <c r="K515" s="441">
        <v>600</v>
      </c>
      <c r="L515" s="63">
        <f t="shared" si="33"/>
        <v>93158.970000000045</v>
      </c>
      <c r="M515" s="25"/>
    </row>
    <row r="516" spans="2:13" x14ac:dyDescent="0.2">
      <c r="B516" s="64"/>
      <c r="C516" s="349"/>
      <c r="D516" s="349"/>
      <c r="E516" s="3"/>
      <c r="F516" s="16"/>
      <c r="G516" s="571"/>
      <c r="H516" s="572"/>
      <c r="I516" s="573"/>
      <c r="J516" s="349"/>
      <c r="K516" s="70"/>
      <c r="L516" s="63">
        <f t="shared" si="33"/>
        <v>93158.970000000045</v>
      </c>
      <c r="M516" s="25"/>
    </row>
    <row r="517" spans="2:13" x14ac:dyDescent="0.2">
      <c r="B517" s="10"/>
      <c r="C517" s="77"/>
      <c r="D517" s="77"/>
      <c r="E517" s="3"/>
      <c r="F517" s="16"/>
      <c r="G517" s="81"/>
      <c r="H517" s="568"/>
      <c r="I517" s="570"/>
      <c r="J517" s="349"/>
      <c r="K517" s="70"/>
      <c r="L517" s="63">
        <f t="shared" si="33"/>
        <v>93158.970000000045</v>
      </c>
      <c r="M517" s="25"/>
    </row>
    <row r="518" spans="2:13" ht="12.75" thickBot="1" x14ac:dyDescent="0.25">
      <c r="B518" s="64"/>
      <c r="C518" s="65"/>
      <c r="D518" s="65"/>
      <c r="E518" s="13"/>
      <c r="F518" s="13"/>
      <c r="G518" s="104"/>
      <c r="H518" s="84"/>
      <c r="I518" s="12"/>
      <c r="J518" s="12"/>
      <c r="K518" s="12"/>
      <c r="L518" s="63"/>
      <c r="M518" s="25"/>
    </row>
    <row r="519" spans="2:13" x14ac:dyDescent="0.2">
      <c r="B519" s="56"/>
      <c r="C519" s="57"/>
      <c r="D519" s="57"/>
      <c r="E519" s="5"/>
      <c r="F519" s="5"/>
      <c r="G519" s="85" t="s">
        <v>68</v>
      </c>
      <c r="H519" s="107">
        <f>SUM(H465:H500)</f>
        <v>6822</v>
      </c>
      <c r="I519" s="105">
        <f>SUM(I465:I500)</f>
        <v>2183.04</v>
      </c>
      <c r="J519" s="106">
        <f>SUM(J465:J500)</f>
        <v>4638.96</v>
      </c>
      <c r="K519" s="106">
        <f>SUM(K509:K517)</f>
        <v>6050</v>
      </c>
      <c r="L519" s="108"/>
      <c r="M519" s="25"/>
    </row>
    <row r="520" spans="2:13" ht="12.75" thickBot="1" x14ac:dyDescent="0.25">
      <c r="B520" s="71"/>
      <c r="C520" s="72"/>
      <c r="D520" s="72"/>
      <c r="E520" s="73"/>
      <c r="F520" s="73"/>
      <c r="G520" s="86" t="s">
        <v>13</v>
      </c>
      <c r="H520" s="100"/>
      <c r="I520" s="99"/>
      <c r="J520" s="87"/>
      <c r="K520" s="87"/>
      <c r="L520" s="88">
        <f>+J519-K519+L464</f>
        <v>93158.97000000003</v>
      </c>
      <c r="M520" s="25"/>
    </row>
    <row r="521" spans="2:13" x14ac:dyDescent="0.2">
      <c r="B521" s="25"/>
      <c r="H521" s="74"/>
      <c r="I521" s="25"/>
      <c r="L521" s="25"/>
      <c r="M521" s="25"/>
    </row>
    <row r="522" spans="2:13" ht="12" customHeight="1" x14ac:dyDescent="0.2">
      <c r="B522" s="544" t="s">
        <v>48</v>
      </c>
      <c r="C522" s="545"/>
      <c r="D522" s="545"/>
      <c r="E522" s="545"/>
      <c r="F522" s="545"/>
      <c r="G522" s="545"/>
      <c r="H522" s="545"/>
      <c r="I522" s="545"/>
      <c r="J522" s="545"/>
      <c r="K522" s="545"/>
      <c r="L522" s="546"/>
      <c r="M522" s="25"/>
    </row>
    <row r="523" spans="2:13" x14ac:dyDescent="0.2">
      <c r="B523" s="547" t="s">
        <v>625</v>
      </c>
      <c r="C523" s="548"/>
      <c r="D523" s="548"/>
      <c r="E523" s="548"/>
      <c r="F523" s="548"/>
      <c r="G523" s="548"/>
      <c r="H523" s="548"/>
      <c r="I523" s="548"/>
      <c r="J523" s="548"/>
      <c r="K523" s="548"/>
      <c r="L523" s="549"/>
      <c r="M523" s="25"/>
    </row>
    <row r="524" spans="2:13" x14ac:dyDescent="0.2">
      <c r="B524" s="550" t="s">
        <v>50</v>
      </c>
      <c r="C524" s="550"/>
      <c r="D524" s="551" t="s">
        <v>51</v>
      </c>
      <c r="E524" s="551"/>
      <c r="F524" s="551"/>
      <c r="G524" s="369"/>
      <c r="H524" s="369"/>
      <c r="I524" s="369"/>
      <c r="J524" s="369"/>
      <c r="K524" s="369"/>
      <c r="L524" s="370"/>
      <c r="M524" s="25"/>
    </row>
    <row r="525" spans="2:13" ht="24" x14ac:dyDescent="0.2">
      <c r="B525" s="56" t="s">
        <v>1</v>
      </c>
      <c r="C525" s="57" t="s">
        <v>2</v>
      </c>
      <c r="D525" s="57" t="s">
        <v>2</v>
      </c>
      <c r="E525" s="5" t="s">
        <v>3</v>
      </c>
      <c r="F525" s="5" t="s">
        <v>4</v>
      </c>
      <c r="G525" s="89" t="s">
        <v>6</v>
      </c>
      <c r="H525" s="83" t="s">
        <v>7</v>
      </c>
      <c r="I525" s="83" t="s">
        <v>52</v>
      </c>
      <c r="J525" s="83" t="s">
        <v>53</v>
      </c>
      <c r="K525" s="5" t="s">
        <v>10</v>
      </c>
      <c r="L525" s="5" t="s">
        <v>11</v>
      </c>
      <c r="M525" s="25"/>
    </row>
    <row r="526" spans="2:13" x14ac:dyDescent="0.2">
      <c r="B526" s="58"/>
      <c r="C526" s="59"/>
      <c r="D526" s="59"/>
      <c r="E526" s="13"/>
      <c r="F526" s="13"/>
      <c r="G526" s="24"/>
      <c r="H526" s="60"/>
      <c r="I526" s="61"/>
      <c r="J526" s="61"/>
      <c r="K526" s="61"/>
      <c r="L526" s="60">
        <f>L520</f>
        <v>93158.97000000003</v>
      </c>
      <c r="M526" s="25"/>
    </row>
    <row r="527" spans="2:13" x14ac:dyDescent="0.2">
      <c r="B527" s="110">
        <v>44049</v>
      </c>
      <c r="C527" s="353"/>
      <c r="D527" s="11"/>
      <c r="E527" s="15" t="s">
        <v>434</v>
      </c>
      <c r="F527" s="15"/>
      <c r="G527" s="15"/>
      <c r="H527" s="112">
        <v>220</v>
      </c>
      <c r="I527" s="12">
        <f>H527*0.32</f>
        <v>70.400000000000006</v>
      </c>
      <c r="J527" s="12">
        <f>H527*0.68</f>
        <v>149.60000000000002</v>
      </c>
      <c r="K527" s="12"/>
      <c r="L527" s="63">
        <f>+J527-K527+L526</f>
        <v>93308.570000000036</v>
      </c>
      <c r="M527" s="25"/>
    </row>
    <row r="528" spans="2:13" x14ac:dyDescent="0.2">
      <c r="B528" s="110">
        <v>44050</v>
      </c>
      <c r="C528" s="353"/>
      <c r="D528" s="11"/>
      <c r="E528" s="15" t="s">
        <v>434</v>
      </c>
      <c r="F528" s="15"/>
      <c r="G528" s="15"/>
      <c r="H528" s="112">
        <v>164</v>
      </c>
      <c r="I528" s="12">
        <f t="shared" ref="I528:I570" si="37">H528*0.32</f>
        <v>52.480000000000004</v>
      </c>
      <c r="J528" s="12">
        <f t="shared" ref="J528:J570" si="38">H528*0.68</f>
        <v>111.52000000000001</v>
      </c>
      <c r="K528" s="12"/>
      <c r="L528" s="63">
        <f t="shared" ref="L528:L537" si="39">+J528-K528+L527</f>
        <v>93420.09000000004</v>
      </c>
      <c r="M528" s="25"/>
    </row>
    <row r="529" spans="2:14" x14ac:dyDescent="0.2">
      <c r="B529" s="110">
        <v>44053</v>
      </c>
      <c r="C529" s="353"/>
      <c r="D529" s="11"/>
      <c r="E529" s="15" t="s">
        <v>434</v>
      </c>
      <c r="F529" s="15"/>
      <c r="G529" s="15"/>
      <c r="H529" s="112">
        <v>288</v>
      </c>
      <c r="I529" s="12">
        <f t="shared" si="37"/>
        <v>92.16</v>
      </c>
      <c r="J529" s="12">
        <f t="shared" si="38"/>
        <v>195.84</v>
      </c>
      <c r="K529" s="12"/>
      <c r="L529" s="63">
        <f t="shared" si="39"/>
        <v>93615.930000000037</v>
      </c>
      <c r="M529" s="25"/>
    </row>
    <row r="530" spans="2:14" x14ac:dyDescent="0.2">
      <c r="B530" s="110">
        <v>44054</v>
      </c>
      <c r="C530" s="353"/>
      <c r="D530" s="11"/>
      <c r="E530" s="15" t="s">
        <v>434</v>
      </c>
      <c r="F530" s="15"/>
      <c r="G530" s="15"/>
      <c r="H530" s="112">
        <v>144</v>
      </c>
      <c r="I530" s="12">
        <f t="shared" si="37"/>
        <v>46.08</v>
      </c>
      <c r="J530" s="12">
        <f t="shared" si="38"/>
        <v>97.92</v>
      </c>
      <c r="K530" s="12"/>
      <c r="L530" s="63">
        <f t="shared" si="39"/>
        <v>93713.850000000035</v>
      </c>
      <c r="M530" s="25"/>
    </row>
    <row r="531" spans="2:14" x14ac:dyDescent="0.2">
      <c r="B531" s="110">
        <v>44056</v>
      </c>
      <c r="C531" s="353"/>
      <c r="D531" s="11"/>
      <c r="E531" s="15" t="s">
        <v>434</v>
      </c>
      <c r="F531" s="15"/>
      <c r="G531" s="15"/>
      <c r="H531" s="112">
        <v>220</v>
      </c>
      <c r="I531" s="12">
        <f t="shared" si="37"/>
        <v>70.400000000000006</v>
      </c>
      <c r="J531" s="12">
        <f t="shared" si="38"/>
        <v>149.60000000000002</v>
      </c>
      <c r="K531" s="12"/>
      <c r="L531" s="63">
        <f t="shared" si="39"/>
        <v>93863.450000000041</v>
      </c>
      <c r="M531" s="25"/>
    </row>
    <row r="532" spans="2:14" x14ac:dyDescent="0.2">
      <c r="B532" s="110">
        <v>44058</v>
      </c>
      <c r="C532" s="353"/>
      <c r="D532" s="11"/>
      <c r="E532" s="15" t="s">
        <v>434</v>
      </c>
      <c r="F532" s="15"/>
      <c r="G532" s="15"/>
      <c r="H532" s="112">
        <f>220-220</f>
        <v>0</v>
      </c>
      <c r="I532" s="12">
        <f t="shared" si="37"/>
        <v>0</v>
      </c>
      <c r="J532" s="12">
        <f t="shared" si="38"/>
        <v>0</v>
      </c>
      <c r="K532" s="12"/>
      <c r="L532" s="63">
        <f t="shared" si="39"/>
        <v>93863.450000000041</v>
      </c>
      <c r="M532" s="25"/>
      <c r="N532" s="26" t="s">
        <v>831</v>
      </c>
    </row>
    <row r="533" spans="2:14" x14ac:dyDescent="0.2">
      <c r="B533" s="110">
        <v>44062</v>
      </c>
      <c r="C533" s="353"/>
      <c r="D533" s="11"/>
      <c r="E533" s="15" t="s">
        <v>434</v>
      </c>
      <c r="F533" s="15"/>
      <c r="G533" s="15"/>
      <c r="H533" s="112">
        <f>144-144</f>
        <v>0</v>
      </c>
      <c r="I533" s="12">
        <f t="shared" si="37"/>
        <v>0</v>
      </c>
      <c r="J533" s="12">
        <f t="shared" si="38"/>
        <v>0</v>
      </c>
      <c r="K533" s="12"/>
      <c r="L533" s="63">
        <f t="shared" si="39"/>
        <v>93863.450000000041</v>
      </c>
      <c r="M533" s="25"/>
    </row>
    <row r="534" spans="2:14" ht="11.25" customHeight="1" x14ac:dyDescent="0.2">
      <c r="B534" s="110">
        <v>44064</v>
      </c>
      <c r="C534" s="353"/>
      <c r="D534" s="77"/>
      <c r="E534" s="15" t="s">
        <v>434</v>
      </c>
      <c r="F534" s="15"/>
      <c r="G534" s="15"/>
      <c r="H534" s="112">
        <v>212</v>
      </c>
      <c r="I534" s="12">
        <f t="shared" si="37"/>
        <v>67.84</v>
      </c>
      <c r="J534" s="12">
        <f t="shared" si="38"/>
        <v>144.16</v>
      </c>
      <c r="K534" s="12"/>
      <c r="L534" s="63">
        <f t="shared" si="39"/>
        <v>94007.610000000044</v>
      </c>
      <c r="M534" s="25"/>
      <c r="N534" s="26" t="s">
        <v>830</v>
      </c>
    </row>
    <row r="535" spans="2:14" x14ac:dyDescent="0.2">
      <c r="B535" s="110">
        <v>44068</v>
      </c>
      <c r="C535" s="353"/>
      <c r="D535" s="11"/>
      <c r="E535" s="15" t="s">
        <v>434</v>
      </c>
      <c r="F535" s="15"/>
      <c r="G535" s="15"/>
      <c r="H535" s="112">
        <v>220</v>
      </c>
      <c r="I535" s="12">
        <f t="shared" si="37"/>
        <v>70.400000000000006</v>
      </c>
      <c r="J535" s="12">
        <f t="shared" si="38"/>
        <v>149.60000000000002</v>
      </c>
      <c r="K535" s="12"/>
      <c r="L535" s="63">
        <f t="shared" si="39"/>
        <v>94157.21000000005</v>
      </c>
      <c r="M535" s="25"/>
    </row>
    <row r="536" spans="2:14" x14ac:dyDescent="0.2">
      <c r="B536" s="110">
        <v>44070</v>
      </c>
      <c r="C536" s="353"/>
      <c r="D536" s="11"/>
      <c r="E536" s="15" t="s">
        <v>434</v>
      </c>
      <c r="F536" s="15"/>
      <c r="G536" s="15"/>
      <c r="H536" s="112">
        <v>144</v>
      </c>
      <c r="I536" s="12">
        <f t="shared" si="37"/>
        <v>46.08</v>
      </c>
      <c r="J536" s="12">
        <f t="shared" si="38"/>
        <v>97.92</v>
      </c>
      <c r="K536" s="12"/>
      <c r="L536" s="63">
        <f t="shared" si="39"/>
        <v>94255.130000000048</v>
      </c>
      <c r="M536" s="25"/>
    </row>
    <row r="537" spans="2:14" x14ac:dyDescent="0.2">
      <c r="B537" s="110"/>
      <c r="C537" s="353"/>
      <c r="D537" s="11"/>
      <c r="E537" s="15"/>
      <c r="F537" s="15"/>
      <c r="G537" s="15"/>
      <c r="H537" s="112"/>
      <c r="I537" s="12">
        <f t="shared" si="37"/>
        <v>0</v>
      </c>
      <c r="J537" s="12">
        <f t="shared" si="38"/>
        <v>0</v>
      </c>
      <c r="K537" s="12"/>
      <c r="L537" s="63">
        <f t="shared" si="39"/>
        <v>94255.130000000048</v>
      </c>
      <c r="M537" s="25"/>
    </row>
    <row r="538" spans="2:14" x14ac:dyDescent="0.2">
      <c r="B538" s="110"/>
      <c r="C538" s="353"/>
      <c r="D538" s="65"/>
      <c r="E538" s="13"/>
      <c r="F538" s="15"/>
      <c r="G538" s="15"/>
      <c r="H538" s="112"/>
      <c r="I538" s="12">
        <f t="shared" si="37"/>
        <v>0</v>
      </c>
      <c r="J538" s="12">
        <f t="shared" si="38"/>
        <v>0</v>
      </c>
      <c r="K538" s="12"/>
      <c r="L538" s="63">
        <f>+J538-K538+L537</f>
        <v>94255.130000000048</v>
      </c>
      <c r="M538" s="25"/>
    </row>
    <row r="539" spans="2:14" x14ac:dyDescent="0.2">
      <c r="B539" s="110"/>
      <c r="C539" s="353"/>
      <c r="D539" s="65"/>
      <c r="E539" s="13"/>
      <c r="F539" s="15"/>
      <c r="G539" s="15"/>
      <c r="H539" s="112"/>
      <c r="I539" s="12">
        <f t="shared" si="37"/>
        <v>0</v>
      </c>
      <c r="J539" s="12">
        <f t="shared" si="38"/>
        <v>0</v>
      </c>
      <c r="K539" s="12"/>
      <c r="L539" s="63">
        <f t="shared" ref="L539:L584" si="40">+J539-K539+L538</f>
        <v>94255.130000000048</v>
      </c>
      <c r="M539" s="25"/>
    </row>
    <row r="540" spans="2:14" x14ac:dyDescent="0.2">
      <c r="B540" s="442">
        <v>44044</v>
      </c>
      <c r="C540" s="443" t="s">
        <v>826</v>
      </c>
      <c r="D540" s="444"/>
      <c r="E540" s="445"/>
      <c r="F540" s="446"/>
      <c r="G540" s="446"/>
      <c r="H540" s="447">
        <v>110</v>
      </c>
      <c r="I540" s="12">
        <f t="shared" si="37"/>
        <v>35.200000000000003</v>
      </c>
      <c r="J540" s="12">
        <f t="shared" si="38"/>
        <v>74.800000000000011</v>
      </c>
      <c r="K540" s="12"/>
      <c r="L540" s="63">
        <f t="shared" si="40"/>
        <v>94329.930000000051</v>
      </c>
      <c r="M540" s="25"/>
    </row>
    <row r="541" spans="2:14" x14ac:dyDescent="0.2">
      <c r="B541" s="442">
        <v>44046</v>
      </c>
      <c r="C541" s="443" t="s">
        <v>826</v>
      </c>
      <c r="D541" s="444"/>
      <c r="E541" s="445"/>
      <c r="F541" s="446"/>
      <c r="G541" s="446"/>
      <c r="H541" s="447">
        <v>144</v>
      </c>
      <c r="I541" s="12">
        <f t="shared" si="37"/>
        <v>46.08</v>
      </c>
      <c r="J541" s="12">
        <f t="shared" si="38"/>
        <v>97.92</v>
      </c>
      <c r="K541" s="12"/>
      <c r="L541" s="63">
        <f t="shared" si="40"/>
        <v>94427.850000000049</v>
      </c>
      <c r="M541" s="25"/>
    </row>
    <row r="542" spans="2:14" x14ac:dyDescent="0.2">
      <c r="B542" s="442">
        <v>44047</v>
      </c>
      <c r="C542" s="443" t="s">
        <v>826</v>
      </c>
      <c r="D542" s="444"/>
      <c r="E542" s="445"/>
      <c r="F542" s="446"/>
      <c r="G542" s="446"/>
      <c r="H542" s="447">
        <v>144</v>
      </c>
      <c r="I542" s="12">
        <f t="shared" si="37"/>
        <v>46.08</v>
      </c>
      <c r="J542" s="12">
        <f t="shared" si="38"/>
        <v>97.92</v>
      </c>
      <c r="K542" s="12"/>
      <c r="L542" s="63">
        <f t="shared" si="40"/>
        <v>94525.770000000048</v>
      </c>
      <c r="M542" s="25"/>
    </row>
    <row r="543" spans="2:14" x14ac:dyDescent="0.2">
      <c r="B543" s="442">
        <v>44048</v>
      </c>
      <c r="C543" s="443" t="s">
        <v>826</v>
      </c>
      <c r="D543" s="444"/>
      <c r="E543" s="445"/>
      <c r="F543" s="446"/>
      <c r="G543" s="446"/>
      <c r="H543" s="447">
        <v>220</v>
      </c>
      <c r="I543" s="12">
        <f t="shared" si="37"/>
        <v>70.400000000000006</v>
      </c>
      <c r="J543" s="12">
        <f t="shared" si="38"/>
        <v>149.60000000000002</v>
      </c>
      <c r="K543" s="12"/>
      <c r="L543" s="63">
        <f t="shared" si="40"/>
        <v>94675.370000000054</v>
      </c>
      <c r="M543" s="25"/>
    </row>
    <row r="544" spans="2:14" x14ac:dyDescent="0.2">
      <c r="B544" s="442">
        <v>44055</v>
      </c>
      <c r="C544" s="443" t="s">
        <v>826</v>
      </c>
      <c r="D544" s="444"/>
      <c r="E544" s="445"/>
      <c r="F544" s="446"/>
      <c r="G544" s="446"/>
      <c r="H544" s="447">
        <v>330</v>
      </c>
      <c r="I544" s="12">
        <f t="shared" si="37"/>
        <v>105.60000000000001</v>
      </c>
      <c r="J544" s="12">
        <f t="shared" si="38"/>
        <v>224.4</v>
      </c>
      <c r="K544" s="12"/>
      <c r="L544" s="63">
        <f t="shared" si="40"/>
        <v>94899.770000000048</v>
      </c>
      <c r="M544" s="25"/>
    </row>
    <row r="545" spans="2:13" x14ac:dyDescent="0.2">
      <c r="B545" s="442">
        <v>44056</v>
      </c>
      <c r="C545" s="443" t="s">
        <v>826</v>
      </c>
      <c r="D545" s="444"/>
      <c r="E545" s="445"/>
      <c r="F545" s="446"/>
      <c r="G545" s="446"/>
      <c r="H545" s="447">
        <v>258</v>
      </c>
      <c r="I545" s="12">
        <f t="shared" si="37"/>
        <v>82.56</v>
      </c>
      <c r="J545" s="12">
        <f t="shared" si="38"/>
        <v>175.44000000000003</v>
      </c>
      <c r="K545" s="12"/>
      <c r="L545" s="63">
        <f t="shared" si="40"/>
        <v>95075.21000000005</v>
      </c>
      <c r="M545" s="25"/>
    </row>
    <row r="546" spans="2:13" x14ac:dyDescent="0.2">
      <c r="B546" s="442">
        <v>44057</v>
      </c>
      <c r="C546" s="443" t="s">
        <v>826</v>
      </c>
      <c r="D546" s="444"/>
      <c r="E546" s="445"/>
      <c r="F546" s="446"/>
      <c r="G546" s="446"/>
      <c r="H546" s="447">
        <v>364</v>
      </c>
      <c r="I546" s="12">
        <f t="shared" si="37"/>
        <v>116.48</v>
      </c>
      <c r="J546" s="12">
        <f t="shared" si="38"/>
        <v>247.52</v>
      </c>
      <c r="K546" s="12"/>
      <c r="L546" s="63">
        <f t="shared" si="40"/>
        <v>95322.730000000054</v>
      </c>
      <c r="M546" s="25"/>
    </row>
    <row r="547" spans="2:13" x14ac:dyDescent="0.2">
      <c r="B547" s="442">
        <v>44061</v>
      </c>
      <c r="C547" s="443" t="s">
        <v>826</v>
      </c>
      <c r="D547" s="444"/>
      <c r="E547" s="445"/>
      <c r="F547" s="446"/>
      <c r="G547" s="446"/>
      <c r="H547" s="447">
        <v>220</v>
      </c>
      <c r="I547" s="12">
        <f t="shared" si="37"/>
        <v>70.400000000000006</v>
      </c>
      <c r="J547" s="12">
        <f t="shared" si="38"/>
        <v>149.60000000000002</v>
      </c>
      <c r="K547" s="12"/>
      <c r="L547" s="63">
        <f t="shared" si="40"/>
        <v>95472.33000000006</v>
      </c>
      <c r="M547" s="25"/>
    </row>
    <row r="548" spans="2:13" x14ac:dyDescent="0.2">
      <c r="B548" s="442">
        <v>44062</v>
      </c>
      <c r="C548" s="443" t="s">
        <v>826</v>
      </c>
      <c r="D548" s="444"/>
      <c r="E548" s="445"/>
      <c r="F548" s="446"/>
      <c r="G548" s="446"/>
      <c r="H548" s="447">
        <v>330</v>
      </c>
      <c r="I548" s="12">
        <f t="shared" si="37"/>
        <v>105.60000000000001</v>
      </c>
      <c r="J548" s="12">
        <f t="shared" si="38"/>
        <v>224.4</v>
      </c>
      <c r="K548" s="12"/>
      <c r="L548" s="63">
        <f t="shared" si="40"/>
        <v>95696.730000000054</v>
      </c>
      <c r="M548" s="25"/>
    </row>
    <row r="549" spans="2:13" x14ac:dyDescent="0.2">
      <c r="B549" s="442">
        <v>44063</v>
      </c>
      <c r="C549" s="443" t="s">
        <v>826</v>
      </c>
      <c r="D549" s="444"/>
      <c r="E549" s="445"/>
      <c r="F549" s="446"/>
      <c r="G549" s="446"/>
      <c r="H549" s="447">
        <v>420</v>
      </c>
      <c r="I549" s="12">
        <f t="shared" si="37"/>
        <v>134.4</v>
      </c>
      <c r="J549" s="12">
        <f t="shared" si="38"/>
        <v>285.60000000000002</v>
      </c>
      <c r="K549" s="12"/>
      <c r="L549" s="63">
        <f t="shared" si="40"/>
        <v>95982.33000000006</v>
      </c>
      <c r="M549" s="25"/>
    </row>
    <row r="550" spans="2:13" x14ac:dyDescent="0.2">
      <c r="B550" s="442">
        <v>44064</v>
      </c>
      <c r="C550" s="443" t="s">
        <v>826</v>
      </c>
      <c r="D550" s="444"/>
      <c r="E550" s="445"/>
      <c r="F550" s="446"/>
      <c r="G550" s="446"/>
      <c r="H550" s="447">
        <v>1004</v>
      </c>
      <c r="I550" s="12">
        <f t="shared" si="37"/>
        <v>321.28000000000003</v>
      </c>
      <c r="J550" s="12">
        <f t="shared" si="38"/>
        <v>682.72</v>
      </c>
      <c r="K550" s="12"/>
      <c r="L550" s="63">
        <f t="shared" si="40"/>
        <v>96665.050000000061</v>
      </c>
      <c r="M550" s="25"/>
    </row>
    <row r="551" spans="2:13" x14ac:dyDescent="0.2">
      <c r="B551" s="442">
        <v>44065</v>
      </c>
      <c r="C551" s="443" t="s">
        <v>826</v>
      </c>
      <c r="D551" s="444"/>
      <c r="E551" s="445"/>
      <c r="F551" s="446"/>
      <c r="G551" s="446"/>
      <c r="H551" s="447">
        <v>440</v>
      </c>
      <c r="I551" s="12">
        <f t="shared" si="37"/>
        <v>140.80000000000001</v>
      </c>
      <c r="J551" s="12">
        <f t="shared" si="38"/>
        <v>299.20000000000005</v>
      </c>
      <c r="K551" s="12"/>
      <c r="L551" s="63">
        <f t="shared" si="40"/>
        <v>96964.250000000058</v>
      </c>
      <c r="M551" s="25"/>
    </row>
    <row r="552" spans="2:13" x14ac:dyDescent="0.2">
      <c r="B552" s="442">
        <v>44067</v>
      </c>
      <c r="C552" s="443" t="s">
        <v>826</v>
      </c>
      <c r="D552" s="444"/>
      <c r="E552" s="445"/>
      <c r="F552" s="446"/>
      <c r="G552" s="446"/>
      <c r="H552" s="447">
        <v>220</v>
      </c>
      <c r="I552" s="12">
        <f t="shared" si="37"/>
        <v>70.400000000000006</v>
      </c>
      <c r="J552" s="12">
        <f t="shared" si="38"/>
        <v>149.60000000000002</v>
      </c>
      <c r="K552" s="12"/>
      <c r="L552" s="63">
        <f t="shared" si="40"/>
        <v>97113.850000000064</v>
      </c>
      <c r="M552" s="25"/>
    </row>
    <row r="553" spans="2:13" x14ac:dyDescent="0.2">
      <c r="B553" s="442">
        <v>44068</v>
      </c>
      <c r="C553" s="443" t="s">
        <v>826</v>
      </c>
      <c r="D553" s="444"/>
      <c r="E553" s="445"/>
      <c r="F553" s="446"/>
      <c r="G553" s="446"/>
      <c r="H553" s="447">
        <v>220</v>
      </c>
      <c r="I553" s="12">
        <f t="shared" si="37"/>
        <v>70.400000000000006</v>
      </c>
      <c r="J553" s="12">
        <f t="shared" si="38"/>
        <v>149.60000000000002</v>
      </c>
      <c r="K553" s="12"/>
      <c r="L553" s="63">
        <f t="shared" si="40"/>
        <v>97263.45000000007</v>
      </c>
      <c r="M553" s="25"/>
    </row>
    <row r="554" spans="2:13" x14ac:dyDescent="0.2">
      <c r="B554" s="442">
        <v>44070</v>
      </c>
      <c r="C554" s="443" t="s">
        <v>826</v>
      </c>
      <c r="D554" s="444"/>
      <c r="E554" s="445"/>
      <c r="F554" s="446"/>
      <c r="G554" s="446"/>
      <c r="H554" s="447">
        <v>50</v>
      </c>
      <c r="I554" s="12">
        <f t="shared" si="37"/>
        <v>16</v>
      </c>
      <c r="J554" s="12">
        <f t="shared" si="38"/>
        <v>34</v>
      </c>
      <c r="K554" s="12"/>
      <c r="L554" s="63">
        <f t="shared" si="40"/>
        <v>97297.45000000007</v>
      </c>
      <c r="M554" s="25"/>
    </row>
    <row r="555" spans="2:13" x14ac:dyDescent="0.2">
      <c r="B555" s="442">
        <v>44071</v>
      </c>
      <c r="C555" s="443" t="s">
        <v>826</v>
      </c>
      <c r="D555" s="444"/>
      <c r="E555" s="445"/>
      <c r="F555" s="446"/>
      <c r="G555" s="446"/>
      <c r="H555" s="447">
        <v>220</v>
      </c>
      <c r="I555" s="12">
        <f t="shared" si="37"/>
        <v>70.400000000000006</v>
      </c>
      <c r="J555" s="12">
        <f t="shared" si="38"/>
        <v>149.60000000000002</v>
      </c>
      <c r="K555" s="12"/>
      <c r="L555" s="63">
        <f t="shared" si="40"/>
        <v>97447.050000000076</v>
      </c>
      <c r="M555" s="25"/>
    </row>
    <row r="556" spans="2:13" x14ac:dyDescent="0.2">
      <c r="B556" s="442">
        <v>44072</v>
      </c>
      <c r="C556" s="443" t="s">
        <v>826</v>
      </c>
      <c r="D556" s="444"/>
      <c r="E556" s="445"/>
      <c r="F556" s="446"/>
      <c r="G556" s="446"/>
      <c r="H556" s="447">
        <v>220</v>
      </c>
      <c r="I556" s="12">
        <f t="shared" si="37"/>
        <v>70.400000000000006</v>
      </c>
      <c r="J556" s="12">
        <f t="shared" si="38"/>
        <v>149.60000000000002</v>
      </c>
      <c r="K556" s="12"/>
      <c r="L556" s="63">
        <f t="shared" si="40"/>
        <v>97596.650000000081</v>
      </c>
      <c r="M556" s="25"/>
    </row>
    <row r="557" spans="2:13" x14ac:dyDescent="0.2">
      <c r="B557" s="110"/>
      <c r="C557" s="353"/>
      <c r="D557" s="65"/>
      <c r="E557" s="13"/>
      <c r="F557" s="15"/>
      <c r="G557" s="15"/>
      <c r="H557" s="112"/>
      <c r="I557" s="12">
        <f t="shared" si="37"/>
        <v>0</v>
      </c>
      <c r="J557" s="12">
        <f t="shared" si="38"/>
        <v>0</v>
      </c>
      <c r="K557" s="12"/>
      <c r="L557" s="63">
        <f t="shared" si="40"/>
        <v>97596.650000000081</v>
      </c>
      <c r="M557" s="25"/>
    </row>
    <row r="558" spans="2:13" x14ac:dyDescent="0.2">
      <c r="B558" s="110"/>
      <c r="C558" s="353"/>
      <c r="D558" s="65"/>
      <c r="E558" s="13"/>
      <c r="F558" s="15"/>
      <c r="G558" s="15"/>
      <c r="H558" s="112"/>
      <c r="I558" s="12">
        <f t="shared" ref="I558:I562" si="41">H558*0.32</f>
        <v>0</v>
      </c>
      <c r="J558" s="12">
        <f t="shared" ref="J558:J562" si="42">H558*0.68</f>
        <v>0</v>
      </c>
      <c r="K558" s="12"/>
      <c r="L558" s="63"/>
      <c r="M558" s="25"/>
    </row>
    <row r="559" spans="2:13" x14ac:dyDescent="0.2">
      <c r="B559" s="453">
        <v>44049</v>
      </c>
      <c r="C559" s="457" t="s">
        <v>826</v>
      </c>
      <c r="D559" s="459" t="s">
        <v>832</v>
      </c>
      <c r="E559" s="460"/>
      <c r="F559" s="455"/>
      <c r="G559" s="455"/>
      <c r="H559" s="456">
        <v>220</v>
      </c>
      <c r="I559" s="12">
        <f t="shared" si="41"/>
        <v>70.400000000000006</v>
      </c>
      <c r="J559" s="12">
        <f t="shared" si="42"/>
        <v>149.60000000000002</v>
      </c>
      <c r="K559" s="12"/>
      <c r="L559" s="63"/>
      <c r="M559" s="25"/>
    </row>
    <row r="560" spans="2:13" x14ac:dyDescent="0.2">
      <c r="B560" s="453">
        <v>44064</v>
      </c>
      <c r="C560" s="457" t="s">
        <v>826</v>
      </c>
      <c r="D560" s="459" t="s">
        <v>832</v>
      </c>
      <c r="E560" s="460"/>
      <c r="F560" s="455"/>
      <c r="G560" s="455"/>
      <c r="H560" s="456">
        <v>170</v>
      </c>
      <c r="I560" s="12">
        <f t="shared" si="41"/>
        <v>54.4</v>
      </c>
      <c r="J560" s="12">
        <f t="shared" si="42"/>
        <v>115.60000000000001</v>
      </c>
      <c r="K560" s="12"/>
      <c r="L560" s="63"/>
      <c r="M560" s="25"/>
    </row>
    <row r="561" spans="2:13" x14ac:dyDescent="0.2">
      <c r="B561" s="453">
        <v>44060</v>
      </c>
      <c r="C561" s="457" t="s">
        <v>826</v>
      </c>
      <c r="D561" s="459" t="s">
        <v>832</v>
      </c>
      <c r="E561" s="460"/>
      <c r="F561" s="455"/>
      <c r="G561" s="455"/>
      <c r="H561" s="456">
        <v>220</v>
      </c>
      <c r="I561" s="12">
        <f t="shared" si="41"/>
        <v>70.400000000000006</v>
      </c>
      <c r="J561" s="12">
        <f t="shared" si="42"/>
        <v>149.60000000000002</v>
      </c>
      <c r="K561" s="12"/>
      <c r="L561" s="63"/>
      <c r="M561" s="25"/>
    </row>
    <row r="562" spans="2:13" x14ac:dyDescent="0.2">
      <c r="B562" s="453">
        <v>44071</v>
      </c>
      <c r="C562" s="457" t="s">
        <v>826</v>
      </c>
      <c r="D562" s="459" t="s">
        <v>832</v>
      </c>
      <c r="E562" s="460"/>
      <c r="F562" s="455"/>
      <c r="G562" s="455"/>
      <c r="H562" s="456">
        <v>220</v>
      </c>
      <c r="I562" s="12">
        <f t="shared" si="41"/>
        <v>70.400000000000006</v>
      </c>
      <c r="J562" s="12">
        <f t="shared" si="42"/>
        <v>149.60000000000002</v>
      </c>
      <c r="K562" s="12"/>
      <c r="L562" s="63"/>
      <c r="M562" s="25"/>
    </row>
    <row r="563" spans="2:13" x14ac:dyDescent="0.2">
      <c r="B563" s="110"/>
      <c r="C563" s="353"/>
      <c r="D563" s="65"/>
      <c r="E563" s="13"/>
      <c r="F563" s="15"/>
      <c r="G563" s="15"/>
      <c r="H563" s="112"/>
      <c r="I563" s="12">
        <f t="shared" si="37"/>
        <v>0</v>
      </c>
      <c r="J563" s="12">
        <f t="shared" si="38"/>
        <v>0</v>
      </c>
      <c r="K563" s="12"/>
      <c r="L563" s="63">
        <f>+J563-K563+L557</f>
        <v>97596.650000000081</v>
      </c>
      <c r="M563" s="25"/>
    </row>
    <row r="564" spans="2:13" x14ac:dyDescent="0.2">
      <c r="B564" s="110"/>
      <c r="C564" s="353"/>
      <c r="D564" s="65"/>
      <c r="E564" s="13"/>
      <c r="F564" s="15"/>
      <c r="G564" s="15"/>
      <c r="H564" s="112"/>
      <c r="I564" s="12">
        <f t="shared" si="37"/>
        <v>0</v>
      </c>
      <c r="J564" s="12">
        <f t="shared" si="38"/>
        <v>0</v>
      </c>
      <c r="K564" s="12"/>
      <c r="L564" s="63">
        <f t="shared" si="40"/>
        <v>97596.650000000081</v>
      </c>
      <c r="M564" s="25"/>
    </row>
    <row r="565" spans="2:13" x14ac:dyDescent="0.2">
      <c r="B565" s="110">
        <v>44509</v>
      </c>
      <c r="C565" s="353" t="s">
        <v>857</v>
      </c>
      <c r="D565" s="65"/>
      <c r="E565" s="13"/>
      <c r="F565" s="15"/>
      <c r="G565" s="15"/>
      <c r="H565" s="112">
        <v>144</v>
      </c>
      <c r="I565" s="12">
        <f t="shared" si="37"/>
        <v>46.08</v>
      </c>
      <c r="J565" s="12">
        <f t="shared" si="38"/>
        <v>97.92</v>
      </c>
      <c r="K565" s="12"/>
      <c r="L565" s="63">
        <f t="shared" si="40"/>
        <v>97694.57000000008</v>
      </c>
      <c r="M565" s="25"/>
    </row>
    <row r="566" spans="2:13" x14ac:dyDescent="0.2">
      <c r="B566" s="110"/>
      <c r="C566" s="353"/>
      <c r="D566" s="65"/>
      <c r="E566" s="13"/>
      <c r="F566" s="15"/>
      <c r="G566" s="15"/>
      <c r="H566" s="112"/>
      <c r="I566" s="12">
        <f t="shared" si="37"/>
        <v>0</v>
      </c>
      <c r="J566" s="12">
        <f t="shared" si="38"/>
        <v>0</v>
      </c>
      <c r="K566" s="12"/>
      <c r="L566" s="63">
        <f t="shared" si="40"/>
        <v>97694.57000000008</v>
      </c>
      <c r="M566" s="25"/>
    </row>
    <row r="567" spans="2:13" x14ac:dyDescent="0.2">
      <c r="B567" s="110"/>
      <c r="C567" s="353"/>
      <c r="D567" s="65"/>
      <c r="E567" s="13"/>
      <c r="F567" s="15"/>
      <c r="G567" s="15"/>
      <c r="H567" s="112"/>
      <c r="I567" s="12">
        <f t="shared" si="37"/>
        <v>0</v>
      </c>
      <c r="J567" s="12">
        <f t="shared" si="38"/>
        <v>0</v>
      </c>
      <c r="K567" s="12"/>
      <c r="L567" s="63">
        <f t="shared" si="40"/>
        <v>97694.57000000008</v>
      </c>
      <c r="M567" s="25"/>
    </row>
    <row r="568" spans="2:13" x14ac:dyDescent="0.2">
      <c r="B568" s="110"/>
      <c r="C568" s="353"/>
      <c r="D568" s="65"/>
      <c r="E568" s="13"/>
      <c r="F568" s="15"/>
      <c r="G568" s="15"/>
      <c r="H568" s="112"/>
      <c r="I568" s="12">
        <f t="shared" si="37"/>
        <v>0</v>
      </c>
      <c r="J568" s="12">
        <f t="shared" si="38"/>
        <v>0</v>
      </c>
      <c r="K568" s="12"/>
      <c r="L568" s="63">
        <f t="shared" si="40"/>
        <v>97694.57000000008</v>
      </c>
      <c r="M568" s="25"/>
    </row>
    <row r="569" spans="2:13" x14ac:dyDescent="0.2">
      <c r="B569" s="110"/>
      <c r="C569" s="353"/>
      <c r="D569" s="65"/>
      <c r="E569" s="13"/>
      <c r="F569" s="15"/>
      <c r="G569" s="15"/>
      <c r="H569" s="112"/>
      <c r="I569" s="12">
        <f t="shared" si="37"/>
        <v>0</v>
      </c>
      <c r="J569" s="12">
        <f t="shared" si="38"/>
        <v>0</v>
      </c>
      <c r="K569" s="12"/>
      <c r="L569" s="63">
        <f t="shared" si="40"/>
        <v>97694.57000000008</v>
      </c>
      <c r="M569" s="25"/>
    </row>
    <row r="570" spans="2:13" x14ac:dyDescent="0.2">
      <c r="B570" s="110"/>
      <c r="C570" s="353"/>
      <c r="D570" s="65"/>
      <c r="E570" s="13"/>
      <c r="F570" s="15"/>
      <c r="G570" s="15"/>
      <c r="H570" s="112"/>
      <c r="I570" s="12">
        <f t="shared" si="37"/>
        <v>0</v>
      </c>
      <c r="J570" s="12">
        <f t="shared" si="38"/>
        <v>0</v>
      </c>
      <c r="K570" s="12"/>
      <c r="L570" s="63">
        <f t="shared" si="40"/>
        <v>97694.57000000008</v>
      </c>
      <c r="M570" s="25"/>
    </row>
    <row r="571" spans="2:13" x14ac:dyDescent="0.2">
      <c r="B571" s="110"/>
      <c r="C571" s="65"/>
      <c r="D571" s="65"/>
      <c r="E571" s="13"/>
      <c r="F571" s="15"/>
      <c r="G571" s="66"/>
      <c r="H571" s="112"/>
      <c r="I571" s="12"/>
      <c r="J571" s="12"/>
      <c r="K571" s="12"/>
      <c r="L571" s="63">
        <f t="shared" si="40"/>
        <v>97694.57000000008</v>
      </c>
      <c r="M571" s="25"/>
    </row>
    <row r="572" spans="2:13" x14ac:dyDescent="0.2">
      <c r="B572" s="547" t="s">
        <v>370</v>
      </c>
      <c r="C572" s="548"/>
      <c r="D572" s="548"/>
      <c r="E572" s="548"/>
      <c r="F572" s="548"/>
      <c r="G572" s="548"/>
      <c r="H572" s="548"/>
      <c r="I572" s="548"/>
      <c r="J572" s="548"/>
      <c r="K572" s="549"/>
      <c r="L572" s="63">
        <f t="shared" si="40"/>
        <v>97694.57000000008</v>
      </c>
      <c r="M572" s="25"/>
    </row>
    <row r="573" spans="2:13" x14ac:dyDescent="0.2">
      <c r="B573" s="552" t="s">
        <v>56</v>
      </c>
      <c r="C573" s="553"/>
      <c r="D573" s="554" t="s">
        <v>51</v>
      </c>
      <c r="E573" s="554"/>
      <c r="F573" s="554"/>
      <c r="G573" s="94"/>
      <c r="H573" s="95"/>
      <c r="I573" s="96"/>
      <c r="J573" s="96"/>
      <c r="K573" s="97"/>
      <c r="L573" s="63">
        <f t="shared" si="40"/>
        <v>97694.57000000008</v>
      </c>
      <c r="M573" s="25"/>
    </row>
    <row r="574" spans="2:13" x14ac:dyDescent="0.2">
      <c r="B574" s="91" t="s">
        <v>1</v>
      </c>
      <c r="C574" s="92" t="s">
        <v>57</v>
      </c>
      <c r="D574" s="92" t="s">
        <v>2</v>
      </c>
      <c r="E574" s="371" t="s">
        <v>3</v>
      </c>
      <c r="F574" s="371" t="s">
        <v>4</v>
      </c>
      <c r="G574" s="561" t="s">
        <v>58</v>
      </c>
      <c r="H574" s="562"/>
      <c r="I574" s="562"/>
      <c r="J574" s="563"/>
      <c r="K574" s="90"/>
      <c r="L574" s="63">
        <f t="shared" si="40"/>
        <v>97694.57000000008</v>
      </c>
      <c r="M574" s="25"/>
    </row>
    <row r="575" spans="2:13" ht="42" customHeight="1" x14ac:dyDescent="0.2">
      <c r="B575" s="64" t="s">
        <v>800</v>
      </c>
      <c r="C575" s="349" t="s">
        <v>804</v>
      </c>
      <c r="D575" s="349"/>
      <c r="E575" s="3" t="s">
        <v>806</v>
      </c>
      <c r="F575" s="68"/>
      <c r="G575" s="624" t="s">
        <v>805</v>
      </c>
      <c r="H575" s="625"/>
      <c r="I575" s="626"/>
      <c r="J575" s="440"/>
      <c r="K575" s="441">
        <v>800</v>
      </c>
      <c r="L575" s="63">
        <f>+J575-K575+L574</f>
        <v>96894.57000000008</v>
      </c>
      <c r="M575" s="25"/>
    </row>
    <row r="576" spans="2:13" ht="44.25" customHeight="1" x14ac:dyDescent="0.2">
      <c r="B576" s="64"/>
      <c r="C576" s="77"/>
      <c r="D576" s="78"/>
      <c r="E576" s="3" t="s">
        <v>807</v>
      </c>
      <c r="F576" s="68"/>
      <c r="G576" s="615" t="s">
        <v>808</v>
      </c>
      <c r="H576" s="616"/>
      <c r="I576" s="617"/>
      <c r="J576" s="440"/>
      <c r="K576" s="441">
        <v>800</v>
      </c>
      <c r="L576" s="63">
        <f t="shared" si="40"/>
        <v>96094.57000000008</v>
      </c>
      <c r="M576" s="25"/>
    </row>
    <row r="577" spans="2:13" ht="40.5" customHeight="1" x14ac:dyDescent="0.2">
      <c r="B577" s="64"/>
      <c r="C577" s="78"/>
      <c r="D577" s="78"/>
      <c r="E577" s="3" t="s">
        <v>809</v>
      </c>
      <c r="F577" s="68"/>
      <c r="G577" s="615" t="s">
        <v>810</v>
      </c>
      <c r="H577" s="616"/>
      <c r="I577" s="617"/>
      <c r="J577" s="440"/>
      <c r="K577" s="441">
        <v>800</v>
      </c>
      <c r="L577" s="63">
        <f>+J577-K577+L576</f>
        <v>95294.57000000008</v>
      </c>
      <c r="M577" s="25"/>
    </row>
    <row r="578" spans="2:13" ht="26.25" customHeight="1" x14ac:dyDescent="0.2">
      <c r="B578" s="64" t="s">
        <v>800</v>
      </c>
      <c r="C578" s="78" t="s">
        <v>811</v>
      </c>
      <c r="D578" s="78"/>
      <c r="E578" s="3"/>
      <c r="F578" s="68"/>
      <c r="G578" s="597" t="s">
        <v>812</v>
      </c>
      <c r="H578" s="598"/>
      <c r="I578" s="599"/>
      <c r="J578" s="440"/>
      <c r="K578" s="441">
        <v>1500</v>
      </c>
      <c r="L578" s="63">
        <f>+J578-K578+L577</f>
        <v>93794.57000000008</v>
      </c>
      <c r="M578" s="25"/>
    </row>
    <row r="579" spans="2:13" ht="28.5" customHeight="1" x14ac:dyDescent="0.2">
      <c r="B579" s="64"/>
      <c r="C579" s="78"/>
      <c r="D579" s="78"/>
      <c r="E579" s="3"/>
      <c r="F579" s="68"/>
      <c r="G579" s="597" t="s">
        <v>795</v>
      </c>
      <c r="H579" s="598"/>
      <c r="I579" s="599"/>
      <c r="J579" s="440"/>
      <c r="K579" s="441">
        <v>850</v>
      </c>
      <c r="L579" s="63">
        <f t="shared" si="40"/>
        <v>92944.57000000008</v>
      </c>
      <c r="M579" s="25"/>
    </row>
    <row r="580" spans="2:13" ht="35.25" customHeight="1" x14ac:dyDescent="0.2">
      <c r="B580" s="64"/>
      <c r="C580" s="77"/>
      <c r="D580" s="78"/>
      <c r="E580" s="3"/>
      <c r="F580" s="16"/>
      <c r="G580" s="597" t="s">
        <v>796</v>
      </c>
      <c r="H580" s="598"/>
      <c r="I580" s="599"/>
      <c r="J580" s="372"/>
      <c r="K580" s="61">
        <v>1500</v>
      </c>
      <c r="L580" s="63">
        <f t="shared" si="40"/>
        <v>91444.57000000008</v>
      </c>
      <c r="M580" s="25"/>
    </row>
    <row r="581" spans="2:13" ht="36.75" customHeight="1" x14ac:dyDescent="0.2">
      <c r="B581" s="64"/>
      <c r="C581" s="78"/>
      <c r="D581" s="78"/>
      <c r="E581" s="3"/>
      <c r="F581" s="16"/>
      <c r="G581" s="597" t="s">
        <v>799</v>
      </c>
      <c r="H581" s="598"/>
      <c r="I581" s="599"/>
      <c r="J581" s="372"/>
      <c r="K581" s="12">
        <v>600</v>
      </c>
      <c r="L581" s="63">
        <f t="shared" si="40"/>
        <v>90844.57000000008</v>
      </c>
      <c r="M581" s="25"/>
    </row>
    <row r="582" spans="2:13" ht="52.5" customHeight="1" x14ac:dyDescent="0.2">
      <c r="B582" s="64" t="s">
        <v>800</v>
      </c>
      <c r="C582" s="77" t="s">
        <v>813</v>
      </c>
      <c r="D582" s="78"/>
      <c r="E582" s="3"/>
      <c r="F582" s="16"/>
      <c r="G582" s="618" t="s">
        <v>814</v>
      </c>
      <c r="H582" s="619"/>
      <c r="I582" s="620"/>
      <c r="J582" s="12"/>
      <c r="K582" s="12">
        <v>500</v>
      </c>
      <c r="L582" s="63">
        <f t="shared" si="40"/>
        <v>90344.57000000008</v>
      </c>
      <c r="M582" s="25"/>
    </row>
    <row r="583" spans="2:13" x14ac:dyDescent="0.2">
      <c r="B583" s="10"/>
      <c r="C583" s="77"/>
      <c r="D583" s="77"/>
      <c r="E583" s="3"/>
      <c r="F583" s="16"/>
      <c r="G583" s="375"/>
      <c r="H583" s="376"/>
      <c r="I583" s="374"/>
      <c r="J583" s="349"/>
      <c r="K583" s="70"/>
      <c r="L583" s="63">
        <f t="shared" si="40"/>
        <v>90344.57000000008</v>
      </c>
      <c r="M583" s="25"/>
    </row>
    <row r="584" spans="2:13" x14ac:dyDescent="0.2">
      <c r="B584" s="10"/>
      <c r="C584" s="77"/>
      <c r="D584" s="77"/>
      <c r="E584" s="3"/>
      <c r="F584" s="16"/>
      <c r="G584" s="375"/>
      <c r="H584" s="376"/>
      <c r="I584" s="374"/>
      <c r="J584" s="349"/>
      <c r="K584" s="70"/>
      <c r="L584" s="63">
        <f t="shared" si="40"/>
        <v>90344.57000000008</v>
      </c>
      <c r="M584" s="25"/>
    </row>
    <row r="585" spans="2:13" x14ac:dyDescent="0.2">
      <c r="B585" s="10"/>
      <c r="C585" s="77"/>
      <c r="D585" s="77"/>
      <c r="E585" s="3"/>
      <c r="F585" s="16"/>
      <c r="G585" s="375"/>
      <c r="H585" s="376"/>
      <c r="I585" s="374"/>
      <c r="J585" s="349"/>
      <c r="K585" s="70"/>
      <c r="L585" s="63"/>
      <c r="M585" s="25"/>
    </row>
    <row r="586" spans="2:13" ht="12.75" thickBot="1" x14ac:dyDescent="0.25">
      <c r="B586" s="64"/>
      <c r="C586" s="65"/>
      <c r="D586" s="65"/>
      <c r="E586" s="13"/>
      <c r="F586" s="13"/>
      <c r="G586" s="104"/>
      <c r="H586" s="84"/>
      <c r="I586" s="12"/>
      <c r="J586" s="12"/>
      <c r="K586" s="12"/>
      <c r="L586" s="63"/>
      <c r="M586" s="25"/>
    </row>
    <row r="587" spans="2:13" x14ac:dyDescent="0.2">
      <c r="B587" s="56"/>
      <c r="C587" s="57"/>
      <c r="D587" s="57"/>
      <c r="E587" s="5"/>
      <c r="F587" s="5"/>
      <c r="G587" s="85" t="s">
        <v>800</v>
      </c>
      <c r="H587" s="107">
        <f>SUM(H527:H570)</f>
        <v>7500</v>
      </c>
      <c r="I587" s="105">
        <f>SUM(I527:I570)</f>
        <v>2400.0000000000009</v>
      </c>
      <c r="J587" s="106">
        <f>SUM(J527:J570)</f>
        <v>5100.0000000000018</v>
      </c>
      <c r="K587" s="106">
        <f>SUM(K575:K582)</f>
        <v>7350</v>
      </c>
      <c r="L587" s="108"/>
      <c r="M587" s="25"/>
    </row>
    <row r="588" spans="2:13" ht="12.75" thickBot="1" x14ac:dyDescent="0.25">
      <c r="B588" s="71"/>
      <c r="C588" s="72"/>
      <c r="D588" s="72"/>
      <c r="E588" s="73"/>
      <c r="F588" s="73"/>
      <c r="G588" s="86" t="s">
        <v>13</v>
      </c>
      <c r="H588" s="100"/>
      <c r="I588" s="99"/>
      <c r="J588" s="87"/>
      <c r="K588" s="87"/>
      <c r="L588" s="88">
        <f>+J587-K587+L526</f>
        <v>90908.97000000003</v>
      </c>
      <c r="M588" s="25"/>
    </row>
    <row r="589" spans="2:13" x14ac:dyDescent="0.2">
      <c r="B589" s="25"/>
      <c r="H589" s="74"/>
      <c r="I589" s="25"/>
      <c r="L589" s="25"/>
      <c r="M589" s="25"/>
    </row>
    <row r="590" spans="2:13" ht="12" customHeight="1" x14ac:dyDescent="0.2">
      <c r="B590" s="544" t="s">
        <v>48</v>
      </c>
      <c r="C590" s="545"/>
      <c r="D590" s="545"/>
      <c r="E590" s="545"/>
      <c r="F590" s="545"/>
      <c r="G590" s="545"/>
      <c r="H590" s="545"/>
      <c r="I590" s="545"/>
      <c r="J590" s="545"/>
      <c r="K590" s="545"/>
      <c r="L590" s="546"/>
      <c r="M590" s="25"/>
    </row>
    <row r="591" spans="2:13" x14ac:dyDescent="0.2">
      <c r="B591" s="547" t="s">
        <v>815</v>
      </c>
      <c r="C591" s="548"/>
      <c r="D591" s="548"/>
      <c r="E591" s="548"/>
      <c r="F591" s="548"/>
      <c r="G591" s="548"/>
      <c r="H591" s="548"/>
      <c r="I591" s="548"/>
      <c r="J591" s="548"/>
      <c r="K591" s="548"/>
      <c r="L591" s="549"/>
      <c r="M591" s="25"/>
    </row>
    <row r="592" spans="2:13" x14ac:dyDescent="0.2">
      <c r="B592" s="550" t="s">
        <v>50</v>
      </c>
      <c r="C592" s="550"/>
      <c r="D592" s="551" t="s">
        <v>51</v>
      </c>
      <c r="E592" s="551"/>
      <c r="F592" s="551"/>
      <c r="G592" s="377"/>
      <c r="H592" s="377"/>
      <c r="I592" s="377"/>
      <c r="J592" s="377"/>
      <c r="K592" s="377"/>
      <c r="L592" s="379"/>
      <c r="M592" s="25"/>
    </row>
    <row r="593" spans="2:13" ht="24" x14ac:dyDescent="0.2">
      <c r="B593" s="56" t="s">
        <v>1</v>
      </c>
      <c r="C593" s="57" t="s">
        <v>2</v>
      </c>
      <c r="D593" s="57" t="s">
        <v>2</v>
      </c>
      <c r="E593" s="5" t="s">
        <v>3</v>
      </c>
      <c r="F593" s="5" t="s">
        <v>4</v>
      </c>
      <c r="G593" s="89" t="s">
        <v>6</v>
      </c>
      <c r="H593" s="83" t="s">
        <v>7</v>
      </c>
      <c r="I593" s="83" t="s">
        <v>52</v>
      </c>
      <c r="J593" s="83" t="s">
        <v>53</v>
      </c>
      <c r="K593" s="5" t="s">
        <v>10</v>
      </c>
      <c r="L593" s="5" t="s">
        <v>11</v>
      </c>
      <c r="M593" s="25"/>
    </row>
    <row r="594" spans="2:13" x14ac:dyDescent="0.2">
      <c r="B594" s="58"/>
      <c r="C594" s="59"/>
      <c r="D594" s="59"/>
      <c r="E594" s="13"/>
      <c r="F594" s="13"/>
      <c r="G594" s="24"/>
      <c r="H594" s="60"/>
      <c r="I594" s="61"/>
      <c r="J594" s="61"/>
      <c r="K594" s="61"/>
      <c r="L594" s="60">
        <f>L588</f>
        <v>90908.97000000003</v>
      </c>
      <c r="M594" s="25"/>
    </row>
    <row r="595" spans="2:13" x14ac:dyDescent="0.2">
      <c r="B595" s="461">
        <v>44075</v>
      </c>
      <c r="C595" s="462" t="s">
        <v>826</v>
      </c>
      <c r="D595" s="463"/>
      <c r="E595" s="464"/>
      <c r="F595" s="464"/>
      <c r="G595" s="464"/>
      <c r="H595" s="465">
        <v>474</v>
      </c>
      <c r="I595" s="12">
        <f>H595*0.32</f>
        <v>151.68</v>
      </c>
      <c r="J595" s="12">
        <f>H595*0.68</f>
        <v>322.32000000000005</v>
      </c>
      <c r="K595" s="12"/>
      <c r="L595" s="63">
        <f>+J595-K595+L594</f>
        <v>91231.290000000037</v>
      </c>
      <c r="M595" s="25"/>
    </row>
    <row r="596" spans="2:13" x14ac:dyDescent="0.2">
      <c r="B596" s="461">
        <v>44076</v>
      </c>
      <c r="C596" s="462" t="s">
        <v>826</v>
      </c>
      <c r="D596" s="463"/>
      <c r="E596" s="464"/>
      <c r="F596" s="464"/>
      <c r="G596" s="464"/>
      <c r="H596" s="465">
        <v>220</v>
      </c>
      <c r="I596" s="12">
        <f t="shared" ref="I596:I639" si="43">H596*0.32</f>
        <v>70.400000000000006</v>
      </c>
      <c r="J596" s="12">
        <f t="shared" ref="J596:J639" si="44">H596*0.68</f>
        <v>149.60000000000002</v>
      </c>
      <c r="K596" s="12"/>
      <c r="L596" s="63">
        <f t="shared" ref="L596:L605" si="45">+J596-K596+L595</f>
        <v>91380.890000000043</v>
      </c>
      <c r="M596" s="25"/>
    </row>
    <row r="597" spans="2:13" x14ac:dyDescent="0.2">
      <c r="B597" s="461">
        <v>44077</v>
      </c>
      <c r="C597" s="462" t="s">
        <v>826</v>
      </c>
      <c r="D597" s="463"/>
      <c r="E597" s="464"/>
      <c r="F597" s="464"/>
      <c r="G597" s="464"/>
      <c r="H597" s="465">
        <v>550</v>
      </c>
      <c r="I597" s="12">
        <f t="shared" si="43"/>
        <v>176</v>
      </c>
      <c r="J597" s="12">
        <f t="shared" si="44"/>
        <v>374</v>
      </c>
      <c r="K597" s="12"/>
      <c r="L597" s="63">
        <f t="shared" si="45"/>
        <v>91754.890000000043</v>
      </c>
      <c r="M597" s="25"/>
    </row>
    <row r="598" spans="2:13" x14ac:dyDescent="0.2">
      <c r="B598" s="461">
        <v>44078</v>
      </c>
      <c r="C598" s="462" t="s">
        <v>826</v>
      </c>
      <c r="D598" s="463"/>
      <c r="E598" s="464"/>
      <c r="F598" s="464"/>
      <c r="G598" s="464"/>
      <c r="H598" s="465">
        <v>860</v>
      </c>
      <c r="I598" s="12">
        <f t="shared" si="43"/>
        <v>275.2</v>
      </c>
      <c r="J598" s="12">
        <f t="shared" si="44"/>
        <v>584.80000000000007</v>
      </c>
      <c r="K598" s="12"/>
      <c r="L598" s="63">
        <f t="shared" si="45"/>
        <v>92339.690000000046</v>
      </c>
      <c r="M598" s="25"/>
    </row>
    <row r="599" spans="2:13" x14ac:dyDescent="0.2">
      <c r="B599" s="461">
        <v>44079</v>
      </c>
      <c r="C599" s="462" t="s">
        <v>826</v>
      </c>
      <c r="D599" s="463"/>
      <c r="E599" s="464"/>
      <c r="F599" s="464"/>
      <c r="G599" s="464"/>
      <c r="H599" s="465">
        <v>760</v>
      </c>
      <c r="I599" s="12">
        <f t="shared" si="43"/>
        <v>243.20000000000002</v>
      </c>
      <c r="J599" s="12">
        <f t="shared" si="44"/>
        <v>516.80000000000007</v>
      </c>
      <c r="K599" s="12"/>
      <c r="L599" s="63">
        <f t="shared" si="45"/>
        <v>92856.490000000049</v>
      </c>
      <c r="M599" s="25"/>
    </row>
    <row r="600" spans="2:13" x14ac:dyDescent="0.2">
      <c r="B600" s="461">
        <v>44081</v>
      </c>
      <c r="C600" s="462" t="s">
        <v>826</v>
      </c>
      <c r="D600" s="463"/>
      <c r="E600" s="464"/>
      <c r="F600" s="464"/>
      <c r="G600" s="464"/>
      <c r="H600" s="465">
        <v>650</v>
      </c>
      <c r="I600" s="12">
        <f t="shared" si="43"/>
        <v>208</v>
      </c>
      <c r="J600" s="12">
        <f t="shared" si="44"/>
        <v>442.00000000000006</v>
      </c>
      <c r="K600" s="12"/>
      <c r="L600" s="63">
        <f t="shared" si="45"/>
        <v>93298.490000000049</v>
      </c>
      <c r="M600" s="25"/>
    </row>
    <row r="601" spans="2:13" x14ac:dyDescent="0.2">
      <c r="B601" s="461">
        <v>44082</v>
      </c>
      <c r="C601" s="462" t="s">
        <v>826</v>
      </c>
      <c r="D601" s="463"/>
      <c r="E601" s="464"/>
      <c r="F601" s="464"/>
      <c r="G601" s="464"/>
      <c r="H601" s="465">
        <v>396</v>
      </c>
      <c r="I601" s="12">
        <f t="shared" si="43"/>
        <v>126.72</v>
      </c>
      <c r="J601" s="12">
        <f t="shared" si="44"/>
        <v>269.28000000000003</v>
      </c>
      <c r="K601" s="12"/>
      <c r="L601" s="63">
        <f t="shared" si="45"/>
        <v>93567.770000000048</v>
      </c>
      <c r="M601" s="25"/>
    </row>
    <row r="602" spans="2:13" x14ac:dyDescent="0.2">
      <c r="B602" s="461">
        <v>44083</v>
      </c>
      <c r="C602" s="462" t="s">
        <v>826</v>
      </c>
      <c r="D602" s="466"/>
      <c r="E602" s="464"/>
      <c r="F602" s="464"/>
      <c r="G602" s="464"/>
      <c r="H602" s="465">
        <v>364</v>
      </c>
      <c r="I602" s="12">
        <f t="shared" si="43"/>
        <v>116.48</v>
      </c>
      <c r="J602" s="12">
        <f t="shared" si="44"/>
        <v>247.52</v>
      </c>
      <c r="K602" s="12"/>
      <c r="L602" s="63">
        <f t="shared" si="45"/>
        <v>93815.290000000052</v>
      </c>
      <c r="M602" s="25"/>
    </row>
    <row r="603" spans="2:13" x14ac:dyDescent="0.2">
      <c r="B603" s="461">
        <v>44084</v>
      </c>
      <c r="C603" s="462" t="s">
        <v>826</v>
      </c>
      <c r="D603" s="463"/>
      <c r="E603" s="464"/>
      <c r="F603" s="464"/>
      <c r="G603" s="464"/>
      <c r="H603" s="465">
        <v>760</v>
      </c>
      <c r="I603" s="12">
        <f t="shared" si="43"/>
        <v>243.20000000000002</v>
      </c>
      <c r="J603" s="12">
        <f t="shared" si="44"/>
        <v>516.80000000000007</v>
      </c>
      <c r="K603" s="12"/>
      <c r="L603" s="63">
        <f t="shared" si="45"/>
        <v>94332.090000000055</v>
      </c>
      <c r="M603" s="25"/>
    </row>
    <row r="604" spans="2:13" x14ac:dyDescent="0.2">
      <c r="B604" s="461">
        <v>44085</v>
      </c>
      <c r="C604" s="462" t="s">
        <v>826</v>
      </c>
      <c r="D604" s="463"/>
      <c r="E604" s="464"/>
      <c r="F604" s="464"/>
      <c r="G604" s="464"/>
      <c r="H604" s="465">
        <v>1198</v>
      </c>
      <c r="I604" s="12">
        <f t="shared" si="43"/>
        <v>383.36</v>
      </c>
      <c r="J604" s="12">
        <f t="shared" si="44"/>
        <v>814.6400000000001</v>
      </c>
      <c r="K604" s="12"/>
      <c r="L604" s="63">
        <f t="shared" si="45"/>
        <v>95146.730000000054</v>
      </c>
      <c r="M604" s="25"/>
    </row>
    <row r="605" spans="2:13" x14ac:dyDescent="0.2">
      <c r="B605" s="461">
        <v>44086</v>
      </c>
      <c r="C605" s="462" t="s">
        <v>826</v>
      </c>
      <c r="D605" s="463"/>
      <c r="E605" s="464"/>
      <c r="F605" s="464"/>
      <c r="G605" s="464"/>
      <c r="H605" s="465">
        <v>220</v>
      </c>
      <c r="I605" s="12">
        <f t="shared" si="43"/>
        <v>70.400000000000006</v>
      </c>
      <c r="J605" s="12">
        <f t="shared" si="44"/>
        <v>149.60000000000002</v>
      </c>
      <c r="K605" s="12"/>
      <c r="L605" s="63">
        <f t="shared" si="45"/>
        <v>95296.33000000006</v>
      </c>
      <c r="M605" s="25"/>
    </row>
    <row r="606" spans="2:13" x14ac:dyDescent="0.2">
      <c r="B606" s="461">
        <v>44089</v>
      </c>
      <c r="C606" s="462" t="s">
        <v>826</v>
      </c>
      <c r="D606" s="467"/>
      <c r="E606" s="468"/>
      <c r="F606" s="464"/>
      <c r="G606" s="464"/>
      <c r="H606" s="465">
        <v>330</v>
      </c>
      <c r="I606" s="12">
        <f t="shared" si="43"/>
        <v>105.60000000000001</v>
      </c>
      <c r="J606" s="12">
        <f t="shared" si="44"/>
        <v>224.4</v>
      </c>
      <c r="K606" s="12"/>
      <c r="L606" s="63">
        <f>+J606-K606+L605</f>
        <v>95520.730000000054</v>
      </c>
      <c r="M606" s="25"/>
    </row>
    <row r="607" spans="2:13" x14ac:dyDescent="0.2">
      <c r="B607" s="461">
        <v>44090</v>
      </c>
      <c r="C607" s="462" t="s">
        <v>826</v>
      </c>
      <c r="D607" s="467"/>
      <c r="E607" s="468"/>
      <c r="F607" s="464"/>
      <c r="G607" s="464"/>
      <c r="H607" s="465">
        <v>250</v>
      </c>
      <c r="I607" s="12">
        <f t="shared" si="43"/>
        <v>80</v>
      </c>
      <c r="J607" s="12">
        <f t="shared" si="44"/>
        <v>170</v>
      </c>
      <c r="K607" s="12"/>
      <c r="L607" s="63">
        <f t="shared" ref="L607:L654" si="46">+J607-K607+L606</f>
        <v>95690.730000000054</v>
      </c>
      <c r="M607" s="25"/>
    </row>
    <row r="608" spans="2:13" x14ac:dyDescent="0.2">
      <c r="B608" s="461">
        <v>44091</v>
      </c>
      <c r="C608" s="462" t="s">
        <v>826</v>
      </c>
      <c r="D608" s="467"/>
      <c r="E608" s="468"/>
      <c r="F608" s="464"/>
      <c r="G608" s="464"/>
      <c r="H608" s="465">
        <v>714</v>
      </c>
      <c r="I608" s="12">
        <f t="shared" si="43"/>
        <v>228.48000000000002</v>
      </c>
      <c r="J608" s="12">
        <f t="shared" si="44"/>
        <v>485.52000000000004</v>
      </c>
      <c r="K608" s="12"/>
      <c r="L608" s="63">
        <f t="shared" si="46"/>
        <v>96176.250000000058</v>
      </c>
      <c r="M608" s="25"/>
    </row>
    <row r="609" spans="2:13" x14ac:dyDescent="0.2">
      <c r="B609" s="461">
        <v>44092</v>
      </c>
      <c r="C609" s="462" t="s">
        <v>826</v>
      </c>
      <c r="D609" s="467"/>
      <c r="E609" s="468"/>
      <c r="F609" s="464"/>
      <c r="G609" s="464"/>
      <c r="H609" s="465">
        <v>414</v>
      </c>
      <c r="I609" s="12">
        <f t="shared" si="43"/>
        <v>132.47999999999999</v>
      </c>
      <c r="J609" s="12">
        <f t="shared" si="44"/>
        <v>281.52000000000004</v>
      </c>
      <c r="K609" s="12"/>
      <c r="L609" s="63">
        <f t="shared" si="46"/>
        <v>96457.770000000062</v>
      </c>
      <c r="M609" s="25"/>
    </row>
    <row r="610" spans="2:13" x14ac:dyDescent="0.2">
      <c r="B610" s="461">
        <v>44093</v>
      </c>
      <c r="C610" s="462" t="s">
        <v>826</v>
      </c>
      <c r="D610" s="467"/>
      <c r="E610" s="468"/>
      <c r="F610" s="464"/>
      <c r="G610" s="464"/>
      <c r="H610" s="465">
        <v>440</v>
      </c>
      <c r="I610" s="12">
        <f t="shared" si="43"/>
        <v>140.80000000000001</v>
      </c>
      <c r="J610" s="12">
        <f t="shared" si="44"/>
        <v>299.20000000000005</v>
      </c>
      <c r="K610" s="12"/>
      <c r="L610" s="63">
        <f t="shared" si="46"/>
        <v>96756.970000000059</v>
      </c>
      <c r="M610" s="25"/>
    </row>
    <row r="611" spans="2:13" x14ac:dyDescent="0.2">
      <c r="B611" s="461">
        <v>44095</v>
      </c>
      <c r="C611" s="462" t="s">
        <v>826</v>
      </c>
      <c r="D611" s="467"/>
      <c r="E611" s="468"/>
      <c r="F611" s="464"/>
      <c r="G611" s="464"/>
      <c r="H611" s="465">
        <v>664</v>
      </c>
      <c r="I611" s="12">
        <f t="shared" si="43"/>
        <v>212.48000000000002</v>
      </c>
      <c r="J611" s="12">
        <f t="shared" si="44"/>
        <v>451.52000000000004</v>
      </c>
      <c r="K611" s="12"/>
      <c r="L611" s="63">
        <f t="shared" si="46"/>
        <v>97208.490000000063</v>
      </c>
      <c r="M611" s="25"/>
    </row>
    <row r="612" spans="2:13" x14ac:dyDescent="0.2">
      <c r="B612" s="461">
        <v>44096</v>
      </c>
      <c r="C612" s="462" t="s">
        <v>826</v>
      </c>
      <c r="D612" s="467"/>
      <c r="E612" s="468"/>
      <c r="F612" s="464"/>
      <c r="G612" s="464"/>
      <c r="H612" s="465">
        <v>804</v>
      </c>
      <c r="I612" s="12">
        <f t="shared" si="43"/>
        <v>257.28000000000003</v>
      </c>
      <c r="J612" s="12">
        <f t="shared" si="44"/>
        <v>546.72</v>
      </c>
      <c r="K612" s="12"/>
      <c r="L612" s="63">
        <f t="shared" si="46"/>
        <v>97755.210000000065</v>
      </c>
      <c r="M612" s="25"/>
    </row>
    <row r="613" spans="2:13" x14ac:dyDescent="0.2">
      <c r="B613" s="461">
        <v>44097</v>
      </c>
      <c r="C613" s="462" t="s">
        <v>826</v>
      </c>
      <c r="D613" s="467"/>
      <c r="E613" s="468"/>
      <c r="F613" s="464"/>
      <c r="G613" s="464"/>
      <c r="H613" s="465">
        <v>288</v>
      </c>
      <c r="I613" s="12">
        <f t="shared" si="43"/>
        <v>92.16</v>
      </c>
      <c r="J613" s="12">
        <f t="shared" si="44"/>
        <v>195.84</v>
      </c>
      <c r="K613" s="12"/>
      <c r="L613" s="63">
        <f t="shared" si="46"/>
        <v>97951.050000000061</v>
      </c>
      <c r="M613" s="25"/>
    </row>
    <row r="614" spans="2:13" x14ac:dyDescent="0.2">
      <c r="B614" s="461">
        <v>44098</v>
      </c>
      <c r="C614" s="462" t="s">
        <v>826</v>
      </c>
      <c r="D614" s="467"/>
      <c r="E614" s="468"/>
      <c r="F614" s="464"/>
      <c r="G614" s="464"/>
      <c r="H614" s="465">
        <v>550</v>
      </c>
      <c r="I614" s="12">
        <f t="shared" si="43"/>
        <v>176</v>
      </c>
      <c r="J614" s="12">
        <f t="shared" si="44"/>
        <v>374</v>
      </c>
      <c r="K614" s="12"/>
      <c r="L614" s="63">
        <f t="shared" si="46"/>
        <v>98325.050000000061</v>
      </c>
      <c r="M614" s="25"/>
    </row>
    <row r="615" spans="2:13" x14ac:dyDescent="0.2">
      <c r="B615" s="461">
        <v>44099</v>
      </c>
      <c r="C615" s="462" t="s">
        <v>826</v>
      </c>
      <c r="D615" s="467"/>
      <c r="E615" s="468"/>
      <c r="F615" s="464"/>
      <c r="G615" s="464"/>
      <c r="H615" s="465">
        <v>320</v>
      </c>
      <c r="I615" s="12">
        <f t="shared" si="43"/>
        <v>102.4</v>
      </c>
      <c r="J615" s="12">
        <f t="shared" si="44"/>
        <v>217.60000000000002</v>
      </c>
      <c r="K615" s="12"/>
      <c r="L615" s="63">
        <f t="shared" si="46"/>
        <v>98542.650000000067</v>
      </c>
      <c r="M615" s="25"/>
    </row>
    <row r="616" spans="2:13" x14ac:dyDescent="0.2">
      <c r="B616" s="461">
        <v>44102</v>
      </c>
      <c r="C616" s="462" t="s">
        <v>826</v>
      </c>
      <c r="D616" s="467"/>
      <c r="E616" s="468"/>
      <c r="F616" s="464"/>
      <c r="G616" s="464"/>
      <c r="H616" s="465">
        <v>290</v>
      </c>
      <c r="I616" s="12">
        <f t="shared" si="43"/>
        <v>92.8</v>
      </c>
      <c r="J616" s="12">
        <f t="shared" si="44"/>
        <v>197.20000000000002</v>
      </c>
      <c r="K616" s="12"/>
      <c r="L616" s="63">
        <f t="shared" si="46"/>
        <v>98739.850000000064</v>
      </c>
      <c r="M616" s="25"/>
    </row>
    <row r="617" spans="2:13" x14ac:dyDescent="0.2">
      <c r="B617" s="461">
        <v>44103</v>
      </c>
      <c r="C617" s="462" t="s">
        <v>826</v>
      </c>
      <c r="D617" s="467"/>
      <c r="E617" s="468"/>
      <c r="F617" s="464"/>
      <c r="G617" s="464"/>
      <c r="H617" s="465">
        <v>370</v>
      </c>
      <c r="I617" s="12">
        <f t="shared" si="43"/>
        <v>118.4</v>
      </c>
      <c r="J617" s="12">
        <f t="shared" si="44"/>
        <v>251.60000000000002</v>
      </c>
      <c r="K617" s="12"/>
      <c r="L617" s="63">
        <f t="shared" si="46"/>
        <v>98991.45000000007</v>
      </c>
      <c r="M617" s="25"/>
    </row>
    <row r="618" spans="2:13" x14ac:dyDescent="0.2">
      <c r="B618" s="461">
        <v>44104</v>
      </c>
      <c r="C618" s="462" t="s">
        <v>826</v>
      </c>
      <c r="D618" s="467"/>
      <c r="E618" s="468"/>
      <c r="F618" s="464"/>
      <c r="G618" s="464"/>
      <c r="H618" s="465">
        <v>840</v>
      </c>
      <c r="I618" s="12">
        <f t="shared" si="43"/>
        <v>268.8</v>
      </c>
      <c r="J618" s="12">
        <f t="shared" si="44"/>
        <v>571.20000000000005</v>
      </c>
      <c r="K618" s="12"/>
      <c r="L618" s="63">
        <f t="shared" si="46"/>
        <v>99562.650000000067</v>
      </c>
      <c r="M618" s="25"/>
    </row>
    <row r="619" spans="2:13" x14ac:dyDescent="0.2">
      <c r="B619" s="110"/>
      <c r="C619" s="353"/>
      <c r="D619" s="65"/>
      <c r="E619" s="13"/>
      <c r="F619" s="15"/>
      <c r="G619" s="15"/>
      <c r="H619" s="112"/>
      <c r="I619" s="12">
        <f t="shared" si="43"/>
        <v>0</v>
      </c>
      <c r="J619" s="12">
        <f t="shared" si="44"/>
        <v>0</v>
      </c>
      <c r="K619" s="12"/>
      <c r="L619" s="63">
        <f t="shared" si="46"/>
        <v>99562.650000000067</v>
      </c>
      <c r="M619" s="25"/>
    </row>
    <row r="620" spans="2:13" x14ac:dyDescent="0.2">
      <c r="B620" s="110"/>
      <c r="C620" s="353"/>
      <c r="D620" s="65"/>
      <c r="E620" s="13"/>
      <c r="F620" s="15"/>
      <c r="G620" s="15"/>
      <c r="H620" s="112"/>
      <c r="I620" s="12">
        <f t="shared" si="43"/>
        <v>0</v>
      </c>
      <c r="J620" s="12">
        <f t="shared" si="44"/>
        <v>0</v>
      </c>
      <c r="K620" s="12"/>
      <c r="L620" s="63">
        <f t="shared" si="46"/>
        <v>99562.650000000067</v>
      </c>
      <c r="M620" s="25"/>
    </row>
    <row r="621" spans="2:13" x14ac:dyDescent="0.2">
      <c r="B621" s="110"/>
      <c r="C621" s="353"/>
      <c r="D621" s="65"/>
      <c r="E621" s="13"/>
      <c r="F621" s="15"/>
      <c r="G621" s="15"/>
      <c r="H621" s="112"/>
      <c r="I621" s="12">
        <f t="shared" si="43"/>
        <v>0</v>
      </c>
      <c r="J621" s="12">
        <f t="shared" si="44"/>
        <v>0</v>
      </c>
      <c r="K621" s="12"/>
      <c r="L621" s="63">
        <f t="shared" si="46"/>
        <v>99562.650000000067</v>
      </c>
      <c r="M621" s="25"/>
    </row>
    <row r="622" spans="2:13" x14ac:dyDescent="0.2">
      <c r="B622" s="110"/>
      <c r="C622" s="353"/>
      <c r="D622" s="65"/>
      <c r="E622" s="13"/>
      <c r="F622" s="15"/>
      <c r="G622" s="15"/>
      <c r="H622" s="112"/>
      <c r="I622" s="12">
        <f t="shared" si="43"/>
        <v>0</v>
      </c>
      <c r="J622" s="12">
        <f t="shared" si="44"/>
        <v>0</v>
      </c>
      <c r="K622" s="12"/>
      <c r="L622" s="63">
        <f t="shared" si="46"/>
        <v>99562.650000000067</v>
      </c>
      <c r="M622" s="25"/>
    </row>
    <row r="623" spans="2:13" x14ac:dyDescent="0.2">
      <c r="B623" s="453"/>
      <c r="C623" s="457"/>
      <c r="D623" s="459"/>
      <c r="E623" s="460"/>
      <c r="F623" s="455"/>
      <c r="G623" s="455"/>
      <c r="H623" s="456"/>
      <c r="I623" s="12">
        <f t="shared" si="43"/>
        <v>0</v>
      </c>
      <c r="J623" s="12">
        <f t="shared" si="44"/>
        <v>0</v>
      </c>
      <c r="K623" s="12"/>
      <c r="L623" s="63">
        <f t="shared" si="46"/>
        <v>99562.650000000067</v>
      </c>
      <c r="M623" s="25"/>
    </row>
    <row r="624" spans="2:13" x14ac:dyDescent="0.2">
      <c r="B624" s="453">
        <v>44106</v>
      </c>
      <c r="C624" s="457" t="s">
        <v>826</v>
      </c>
      <c r="D624" s="459" t="s">
        <v>834</v>
      </c>
      <c r="E624" s="460"/>
      <c r="F624" s="455"/>
      <c r="G624" s="455"/>
      <c r="H624" s="456">
        <v>220</v>
      </c>
      <c r="I624" s="12">
        <f t="shared" si="43"/>
        <v>70.400000000000006</v>
      </c>
      <c r="J624" s="12">
        <f t="shared" si="44"/>
        <v>149.60000000000002</v>
      </c>
      <c r="K624" s="12"/>
      <c r="L624" s="63">
        <f t="shared" si="46"/>
        <v>99712.250000000073</v>
      </c>
      <c r="M624" s="25"/>
    </row>
    <row r="625" spans="2:13" x14ac:dyDescent="0.2">
      <c r="B625" s="110">
        <v>44091</v>
      </c>
      <c r="C625" s="353" t="s">
        <v>847</v>
      </c>
      <c r="D625" s="65" t="s">
        <v>34</v>
      </c>
      <c r="E625" s="13"/>
      <c r="F625" s="15"/>
      <c r="G625" s="15"/>
      <c r="H625" s="112">
        <v>220</v>
      </c>
      <c r="I625" s="12">
        <f t="shared" si="43"/>
        <v>70.400000000000006</v>
      </c>
      <c r="J625" s="12">
        <f t="shared" si="44"/>
        <v>149.60000000000002</v>
      </c>
      <c r="K625" s="12"/>
      <c r="L625" s="63">
        <f t="shared" si="46"/>
        <v>99861.850000000079</v>
      </c>
      <c r="M625" s="25"/>
    </row>
    <row r="626" spans="2:13" x14ac:dyDescent="0.2">
      <c r="B626" s="110"/>
      <c r="C626" s="353"/>
      <c r="D626" s="65"/>
      <c r="E626" s="13"/>
      <c r="F626" s="15"/>
      <c r="G626" s="15"/>
      <c r="H626" s="112"/>
      <c r="I626" s="12">
        <f t="shared" si="43"/>
        <v>0</v>
      </c>
      <c r="J626" s="12">
        <f t="shared" si="44"/>
        <v>0</v>
      </c>
      <c r="K626" s="12"/>
      <c r="L626" s="63">
        <f t="shared" si="46"/>
        <v>99861.850000000079</v>
      </c>
      <c r="M626" s="25"/>
    </row>
    <row r="627" spans="2:13" x14ac:dyDescent="0.2">
      <c r="B627" s="110"/>
      <c r="C627" s="353"/>
      <c r="D627" s="65"/>
      <c r="E627" s="13"/>
      <c r="F627" s="15"/>
      <c r="G627" s="15"/>
      <c r="H627" s="112"/>
      <c r="I627" s="12">
        <f t="shared" si="43"/>
        <v>0</v>
      </c>
      <c r="J627" s="12">
        <f t="shared" si="44"/>
        <v>0</v>
      </c>
      <c r="K627" s="12"/>
      <c r="L627" s="63">
        <f t="shared" si="46"/>
        <v>99861.850000000079</v>
      </c>
      <c r="M627" s="25"/>
    </row>
    <row r="628" spans="2:13" x14ac:dyDescent="0.2">
      <c r="B628" s="110"/>
      <c r="C628" s="353"/>
      <c r="D628" s="65"/>
      <c r="E628" s="13"/>
      <c r="F628" s="15"/>
      <c r="G628" s="15"/>
      <c r="H628" s="112"/>
      <c r="I628" s="12">
        <f t="shared" si="43"/>
        <v>0</v>
      </c>
      <c r="J628" s="12">
        <f t="shared" si="44"/>
        <v>0</v>
      </c>
      <c r="K628" s="12"/>
      <c r="L628" s="63">
        <f t="shared" si="46"/>
        <v>99861.850000000079</v>
      </c>
      <c r="M628" s="25"/>
    </row>
    <row r="629" spans="2:13" x14ac:dyDescent="0.2">
      <c r="B629" s="110"/>
      <c r="C629" s="353"/>
      <c r="D629" s="65"/>
      <c r="E629" s="13"/>
      <c r="F629" s="15"/>
      <c r="G629" s="15"/>
      <c r="H629" s="112"/>
      <c r="I629" s="12">
        <f t="shared" si="43"/>
        <v>0</v>
      </c>
      <c r="J629" s="12">
        <f t="shared" si="44"/>
        <v>0</v>
      </c>
      <c r="K629" s="12"/>
      <c r="L629" s="63">
        <f t="shared" si="46"/>
        <v>99861.850000000079</v>
      </c>
      <c r="M629" s="25"/>
    </row>
    <row r="630" spans="2:13" x14ac:dyDescent="0.2">
      <c r="B630" s="110"/>
      <c r="C630" s="353"/>
      <c r="D630" s="65"/>
      <c r="E630" s="13"/>
      <c r="F630" s="15"/>
      <c r="G630" s="15"/>
      <c r="H630" s="112"/>
      <c r="I630" s="12">
        <f t="shared" si="43"/>
        <v>0</v>
      </c>
      <c r="J630" s="12">
        <f t="shared" si="44"/>
        <v>0</v>
      </c>
      <c r="K630" s="12"/>
      <c r="L630" s="63">
        <f t="shared" si="46"/>
        <v>99861.850000000079</v>
      </c>
      <c r="M630" s="25"/>
    </row>
    <row r="631" spans="2:13" x14ac:dyDescent="0.2">
      <c r="B631" s="110"/>
      <c r="C631" s="353"/>
      <c r="D631" s="65"/>
      <c r="E631" s="13"/>
      <c r="F631" s="15"/>
      <c r="G631" s="15"/>
      <c r="H631" s="112"/>
      <c r="I631" s="12">
        <f t="shared" si="43"/>
        <v>0</v>
      </c>
      <c r="J631" s="12">
        <f t="shared" si="44"/>
        <v>0</v>
      </c>
      <c r="K631" s="12"/>
      <c r="L631" s="63">
        <f t="shared" si="46"/>
        <v>99861.850000000079</v>
      </c>
      <c r="M631" s="25"/>
    </row>
    <row r="632" spans="2:13" x14ac:dyDescent="0.2">
      <c r="B632" s="110"/>
      <c r="C632" s="353"/>
      <c r="D632" s="65"/>
      <c r="E632" s="13"/>
      <c r="F632" s="15"/>
      <c r="G632" s="15"/>
      <c r="H632" s="112"/>
      <c r="I632" s="12">
        <f t="shared" si="43"/>
        <v>0</v>
      </c>
      <c r="J632" s="12">
        <f t="shared" si="44"/>
        <v>0</v>
      </c>
      <c r="K632" s="12"/>
      <c r="L632" s="63">
        <f t="shared" si="46"/>
        <v>99861.850000000079</v>
      </c>
      <c r="M632" s="25"/>
    </row>
    <row r="633" spans="2:13" x14ac:dyDescent="0.2">
      <c r="B633" s="110"/>
      <c r="C633" s="353"/>
      <c r="D633" s="65"/>
      <c r="E633" s="13"/>
      <c r="F633" s="15"/>
      <c r="G633" s="15"/>
      <c r="H633" s="112"/>
      <c r="I633" s="12">
        <f t="shared" si="43"/>
        <v>0</v>
      </c>
      <c r="J633" s="12">
        <f t="shared" si="44"/>
        <v>0</v>
      </c>
      <c r="K633" s="12"/>
      <c r="L633" s="63">
        <f t="shared" si="46"/>
        <v>99861.850000000079</v>
      </c>
      <c r="M633" s="25"/>
    </row>
    <row r="634" spans="2:13" x14ac:dyDescent="0.2">
      <c r="B634" s="110"/>
      <c r="C634" s="353"/>
      <c r="D634" s="65"/>
      <c r="E634" s="13"/>
      <c r="F634" s="15"/>
      <c r="G634" s="15"/>
      <c r="H634" s="112"/>
      <c r="I634" s="12">
        <f t="shared" si="43"/>
        <v>0</v>
      </c>
      <c r="J634" s="12">
        <f t="shared" si="44"/>
        <v>0</v>
      </c>
      <c r="K634" s="12"/>
      <c r="L634" s="63">
        <f t="shared" si="46"/>
        <v>99861.850000000079</v>
      </c>
      <c r="M634" s="25"/>
    </row>
    <row r="635" spans="2:13" x14ac:dyDescent="0.2">
      <c r="B635" s="110"/>
      <c r="C635" s="353"/>
      <c r="D635" s="65"/>
      <c r="E635" s="13"/>
      <c r="F635" s="15"/>
      <c r="G635" s="15"/>
      <c r="H635" s="112"/>
      <c r="I635" s="12">
        <f t="shared" si="43"/>
        <v>0</v>
      </c>
      <c r="J635" s="12">
        <f t="shared" si="44"/>
        <v>0</v>
      </c>
      <c r="K635" s="12"/>
      <c r="L635" s="63">
        <f t="shared" si="46"/>
        <v>99861.850000000079</v>
      </c>
      <c r="M635" s="25"/>
    </row>
    <row r="636" spans="2:13" x14ac:dyDescent="0.2">
      <c r="B636" s="110"/>
      <c r="C636" s="353"/>
      <c r="D636" s="65"/>
      <c r="E636" s="13"/>
      <c r="F636" s="15"/>
      <c r="G636" s="15"/>
      <c r="H636" s="112"/>
      <c r="I636" s="12">
        <f t="shared" si="43"/>
        <v>0</v>
      </c>
      <c r="J636" s="12">
        <f t="shared" si="44"/>
        <v>0</v>
      </c>
      <c r="K636" s="12"/>
      <c r="L636" s="63">
        <f t="shared" si="46"/>
        <v>99861.850000000079</v>
      </c>
      <c r="M636" s="25"/>
    </row>
    <row r="637" spans="2:13" x14ac:dyDescent="0.2">
      <c r="B637" s="110"/>
      <c r="C637" s="353"/>
      <c r="D637" s="65"/>
      <c r="E637" s="13"/>
      <c r="F637" s="15"/>
      <c r="G637" s="15"/>
      <c r="H637" s="112"/>
      <c r="I637" s="12">
        <f t="shared" si="43"/>
        <v>0</v>
      </c>
      <c r="J637" s="12">
        <f t="shared" si="44"/>
        <v>0</v>
      </c>
      <c r="K637" s="12"/>
      <c r="L637" s="63">
        <f t="shared" si="46"/>
        <v>99861.850000000079</v>
      </c>
      <c r="M637" s="25"/>
    </row>
    <row r="638" spans="2:13" x14ac:dyDescent="0.2">
      <c r="B638" s="110"/>
      <c r="C638" s="353"/>
      <c r="D638" s="65"/>
      <c r="E638" s="13"/>
      <c r="F638" s="15"/>
      <c r="G638" s="15"/>
      <c r="H638" s="112"/>
      <c r="I638" s="12">
        <f t="shared" si="43"/>
        <v>0</v>
      </c>
      <c r="J638" s="12">
        <f t="shared" si="44"/>
        <v>0</v>
      </c>
      <c r="K638" s="12"/>
      <c r="L638" s="63">
        <f t="shared" si="46"/>
        <v>99861.850000000079</v>
      </c>
      <c r="M638" s="25"/>
    </row>
    <row r="639" spans="2:13" x14ac:dyDescent="0.2">
      <c r="B639" s="110"/>
      <c r="C639" s="353"/>
      <c r="D639" s="65"/>
      <c r="E639" s="13"/>
      <c r="F639" s="15"/>
      <c r="G639" s="15"/>
      <c r="H639" s="112"/>
      <c r="I639" s="12">
        <f t="shared" si="43"/>
        <v>0</v>
      </c>
      <c r="J639" s="12">
        <f t="shared" si="44"/>
        <v>0</v>
      </c>
      <c r="K639" s="12"/>
      <c r="L639" s="63">
        <f t="shared" si="46"/>
        <v>99861.850000000079</v>
      </c>
      <c r="M639" s="25"/>
    </row>
    <row r="640" spans="2:13" x14ac:dyDescent="0.2">
      <c r="B640" s="110"/>
      <c r="C640" s="353"/>
      <c r="D640" s="65"/>
      <c r="E640" s="13"/>
      <c r="F640" s="15"/>
      <c r="G640" s="15"/>
      <c r="H640" s="112"/>
      <c r="I640" s="12"/>
      <c r="J640" s="12"/>
      <c r="K640" s="12"/>
      <c r="L640" s="63">
        <f t="shared" si="46"/>
        <v>99861.850000000079</v>
      </c>
      <c r="M640" s="25"/>
    </row>
    <row r="641" spans="2:13" x14ac:dyDescent="0.2">
      <c r="B641" s="110"/>
      <c r="C641" s="65"/>
      <c r="D641" s="65"/>
      <c r="E641" s="13"/>
      <c r="F641" s="15"/>
      <c r="G641" s="66"/>
      <c r="H641" s="112"/>
      <c r="I641" s="12"/>
      <c r="J641" s="12"/>
      <c r="K641" s="12"/>
      <c r="L641" s="63">
        <f t="shared" si="46"/>
        <v>99861.850000000079</v>
      </c>
      <c r="M641" s="25"/>
    </row>
    <row r="642" spans="2:13" x14ac:dyDescent="0.2">
      <c r="B642" s="547" t="s">
        <v>387</v>
      </c>
      <c r="C642" s="548"/>
      <c r="D642" s="548"/>
      <c r="E642" s="548"/>
      <c r="F642" s="548"/>
      <c r="G642" s="548"/>
      <c r="H642" s="548"/>
      <c r="I642" s="548"/>
      <c r="J642" s="548"/>
      <c r="K642" s="549"/>
      <c r="L642" s="63">
        <f t="shared" si="46"/>
        <v>99861.850000000079</v>
      </c>
      <c r="M642" s="25"/>
    </row>
    <row r="643" spans="2:13" x14ac:dyDescent="0.2">
      <c r="B643" s="552" t="s">
        <v>56</v>
      </c>
      <c r="C643" s="553"/>
      <c r="D643" s="554" t="s">
        <v>51</v>
      </c>
      <c r="E643" s="554"/>
      <c r="F643" s="554"/>
      <c r="G643" s="94"/>
      <c r="H643" s="95"/>
      <c r="I643" s="96"/>
      <c r="J643" s="96"/>
      <c r="K643" s="97"/>
      <c r="L643" s="63">
        <f t="shared" si="46"/>
        <v>99861.850000000079</v>
      </c>
      <c r="M643" s="25"/>
    </row>
    <row r="644" spans="2:13" x14ac:dyDescent="0.2">
      <c r="B644" s="91" t="s">
        <v>1</v>
      </c>
      <c r="C644" s="92" t="s">
        <v>57</v>
      </c>
      <c r="D644" s="92" t="s">
        <v>2</v>
      </c>
      <c r="E644" s="380" t="s">
        <v>3</v>
      </c>
      <c r="F644" s="380" t="s">
        <v>4</v>
      </c>
      <c r="G644" s="561" t="s">
        <v>58</v>
      </c>
      <c r="H644" s="562"/>
      <c r="I644" s="562"/>
      <c r="J644" s="563"/>
      <c r="K644" s="90"/>
      <c r="L644" s="63">
        <f t="shared" si="46"/>
        <v>99861.850000000079</v>
      </c>
      <c r="M644" s="25"/>
    </row>
    <row r="645" spans="2:13" x14ac:dyDescent="0.2">
      <c r="B645" s="64"/>
      <c r="C645" s="77"/>
      <c r="D645" s="78"/>
      <c r="E645" s="3"/>
      <c r="F645" s="16"/>
      <c r="G645" s="378"/>
      <c r="H645" s="373"/>
      <c r="I645" s="373"/>
      <c r="J645" s="12"/>
      <c r="K645" s="12"/>
      <c r="L645" s="63">
        <f t="shared" si="46"/>
        <v>99861.850000000079</v>
      </c>
      <c r="M645" s="25"/>
    </row>
    <row r="646" spans="2:13" ht="27.75" customHeight="1" x14ac:dyDescent="0.2">
      <c r="B646" s="64" t="s">
        <v>816</v>
      </c>
      <c r="C646" s="78" t="s">
        <v>817</v>
      </c>
      <c r="D646" s="78"/>
      <c r="E646" s="3"/>
      <c r="F646" s="68"/>
      <c r="G646" s="597" t="s">
        <v>818</v>
      </c>
      <c r="H646" s="598"/>
      <c r="I646" s="599"/>
      <c r="J646" s="440"/>
      <c r="K646" s="441">
        <v>1500</v>
      </c>
      <c r="L646" s="63">
        <f t="shared" si="46"/>
        <v>98361.850000000079</v>
      </c>
      <c r="M646" s="25"/>
    </row>
    <row r="647" spans="2:13" ht="27" customHeight="1" x14ac:dyDescent="0.2">
      <c r="B647" s="64"/>
      <c r="C647" s="78"/>
      <c r="D647" s="78"/>
      <c r="E647" s="3"/>
      <c r="F647" s="68"/>
      <c r="G647" s="597" t="s">
        <v>795</v>
      </c>
      <c r="H647" s="598"/>
      <c r="I647" s="599"/>
      <c r="J647" s="440"/>
      <c r="K647" s="441">
        <v>850</v>
      </c>
      <c r="L647" s="63">
        <f t="shared" si="46"/>
        <v>97511.850000000079</v>
      </c>
      <c r="M647" s="25"/>
    </row>
    <row r="648" spans="2:13" ht="24.75" customHeight="1" x14ac:dyDescent="0.2">
      <c r="B648" s="64"/>
      <c r="C648" s="77"/>
      <c r="D648" s="78"/>
      <c r="E648" s="3"/>
      <c r="F648" s="16"/>
      <c r="G648" s="597" t="s">
        <v>796</v>
      </c>
      <c r="H648" s="598"/>
      <c r="I648" s="599"/>
      <c r="J648" s="372"/>
      <c r="K648" s="61">
        <v>1500</v>
      </c>
      <c r="L648" s="63">
        <f t="shared" si="46"/>
        <v>96011.850000000079</v>
      </c>
      <c r="M648" s="25"/>
    </row>
    <row r="649" spans="2:13" ht="24.75" customHeight="1" x14ac:dyDescent="0.2">
      <c r="B649" s="64"/>
      <c r="C649" s="78"/>
      <c r="D649" s="78"/>
      <c r="E649" s="3"/>
      <c r="F649" s="16"/>
      <c r="G649" s="597" t="s">
        <v>799</v>
      </c>
      <c r="H649" s="598"/>
      <c r="I649" s="599"/>
      <c r="J649" s="372"/>
      <c r="K649" s="12">
        <v>600</v>
      </c>
      <c r="L649" s="63">
        <f t="shared" si="46"/>
        <v>95411.850000000079</v>
      </c>
      <c r="M649" s="25"/>
    </row>
    <row r="650" spans="2:13" ht="46.5" customHeight="1" x14ac:dyDescent="0.2">
      <c r="B650" s="10" t="s">
        <v>816</v>
      </c>
      <c r="C650" s="77"/>
      <c r="D650" s="77"/>
      <c r="E650" s="3"/>
      <c r="F650" s="16"/>
      <c r="G650" s="571" t="s">
        <v>819</v>
      </c>
      <c r="H650" s="572"/>
      <c r="I650" s="573"/>
      <c r="J650" s="349"/>
      <c r="K650" s="70">
        <v>800</v>
      </c>
      <c r="L650" s="63">
        <f t="shared" si="46"/>
        <v>94611.850000000079</v>
      </c>
      <c r="M650" s="25"/>
    </row>
    <row r="651" spans="2:13" ht="48.75" customHeight="1" x14ac:dyDescent="0.2">
      <c r="B651" s="10" t="s">
        <v>816</v>
      </c>
      <c r="C651" s="77" t="s">
        <v>821</v>
      </c>
      <c r="D651" s="77"/>
      <c r="E651" s="3"/>
      <c r="F651" s="16"/>
      <c r="G651" s="600" t="s">
        <v>820</v>
      </c>
      <c r="H651" s="601"/>
      <c r="I651" s="602"/>
      <c r="J651" s="349"/>
      <c r="K651" s="70"/>
      <c r="L651" s="63">
        <f t="shared" si="46"/>
        <v>94611.850000000079</v>
      </c>
      <c r="M651" s="25"/>
    </row>
    <row r="652" spans="2:13" ht="13.5" customHeight="1" x14ac:dyDescent="0.2">
      <c r="B652" s="10"/>
      <c r="C652" s="77"/>
      <c r="D652" s="77"/>
      <c r="E652" s="3"/>
      <c r="F652" s="16"/>
      <c r="G652" s="600" t="s">
        <v>243</v>
      </c>
      <c r="H652" s="601"/>
      <c r="I652" s="602"/>
      <c r="J652" s="349"/>
      <c r="K652" s="70">
        <v>5000</v>
      </c>
      <c r="L652" s="63">
        <f t="shared" si="46"/>
        <v>89611.850000000079</v>
      </c>
      <c r="M652" s="25"/>
    </row>
    <row r="653" spans="2:13" ht="17.25" customHeight="1" x14ac:dyDescent="0.2">
      <c r="B653" s="10"/>
      <c r="C653" s="77"/>
      <c r="D653" s="77"/>
      <c r="E653" s="3"/>
      <c r="F653" s="16"/>
      <c r="G653" s="600" t="s">
        <v>822</v>
      </c>
      <c r="H653" s="601"/>
      <c r="I653" s="602"/>
      <c r="J653" s="349"/>
      <c r="K653" s="70">
        <v>5625</v>
      </c>
      <c r="L653" s="63">
        <f t="shared" si="46"/>
        <v>83986.850000000079</v>
      </c>
      <c r="M653" s="25"/>
    </row>
    <row r="654" spans="2:13" x14ac:dyDescent="0.2">
      <c r="B654" s="10"/>
      <c r="C654" s="77"/>
      <c r="D654" s="77"/>
      <c r="E654" s="3"/>
      <c r="F654" s="16"/>
      <c r="G654" s="603" t="s">
        <v>823</v>
      </c>
      <c r="H654" s="604"/>
      <c r="I654" s="605"/>
      <c r="J654" s="349"/>
      <c r="K654" s="70">
        <v>1875</v>
      </c>
      <c r="L654" s="63">
        <f t="shared" si="46"/>
        <v>82111.850000000079</v>
      </c>
      <c r="M654" s="25"/>
    </row>
    <row r="655" spans="2:13" ht="12.75" thickBot="1" x14ac:dyDescent="0.25">
      <c r="B655" s="64"/>
      <c r="C655" s="65"/>
      <c r="D655" s="65"/>
      <c r="E655" s="13"/>
      <c r="F655" s="13"/>
      <c r="G655" s="104"/>
      <c r="H655" s="84"/>
      <c r="I655" s="12"/>
      <c r="J655" s="12"/>
      <c r="K655" s="12"/>
      <c r="L655" s="63"/>
      <c r="M655" s="25"/>
    </row>
    <row r="656" spans="2:13" x14ac:dyDescent="0.2">
      <c r="B656" s="56"/>
      <c r="C656" s="57"/>
      <c r="D656" s="57"/>
      <c r="E656" s="5"/>
      <c r="F656" s="5"/>
      <c r="G656" s="85" t="s">
        <v>816</v>
      </c>
      <c r="H656" s="107">
        <f>SUM(H595:H640)</f>
        <v>13166</v>
      </c>
      <c r="I656" s="105">
        <f>SUM(I595:I640)</f>
        <v>4213.1200000000008</v>
      </c>
      <c r="J656" s="106">
        <f>SUM(J595:J640)</f>
        <v>8952.8800000000047</v>
      </c>
      <c r="K656" s="106">
        <f>SUM(K645:K654)</f>
        <v>17750</v>
      </c>
      <c r="L656" s="108"/>
      <c r="M656" s="25"/>
    </row>
    <row r="657" spans="2:13" ht="12.75" thickBot="1" x14ac:dyDescent="0.25">
      <c r="B657" s="71"/>
      <c r="C657" s="72"/>
      <c r="D657" s="72"/>
      <c r="E657" s="73"/>
      <c r="F657" s="73"/>
      <c r="G657" s="86" t="s">
        <v>13</v>
      </c>
      <c r="H657" s="100"/>
      <c r="I657" s="99"/>
      <c r="J657" s="87"/>
      <c r="K657" s="87"/>
      <c r="L657" s="88">
        <f>+J656-K656+L594</f>
        <v>82111.850000000035</v>
      </c>
      <c r="M657" s="25"/>
    </row>
    <row r="658" spans="2:13" x14ac:dyDescent="0.2">
      <c r="B658" s="25"/>
      <c r="H658" s="74"/>
      <c r="I658" s="25"/>
      <c r="L658" s="25"/>
      <c r="M658" s="25"/>
    </row>
    <row r="659" spans="2:13" ht="12" customHeight="1" x14ac:dyDescent="0.2">
      <c r="B659" s="544" t="s">
        <v>48</v>
      </c>
      <c r="C659" s="545"/>
      <c r="D659" s="545"/>
      <c r="E659" s="545"/>
      <c r="F659" s="545"/>
      <c r="G659" s="545"/>
      <c r="H659" s="545"/>
      <c r="I659" s="545"/>
      <c r="J659" s="545"/>
      <c r="K659" s="545"/>
      <c r="L659" s="546"/>
      <c r="M659" s="25"/>
    </row>
    <row r="660" spans="2:13" x14ac:dyDescent="0.2">
      <c r="B660" s="547" t="s">
        <v>669</v>
      </c>
      <c r="C660" s="548"/>
      <c r="D660" s="548"/>
      <c r="E660" s="548"/>
      <c r="F660" s="548"/>
      <c r="G660" s="548"/>
      <c r="H660" s="548"/>
      <c r="I660" s="548"/>
      <c r="J660" s="548"/>
      <c r="K660" s="548"/>
      <c r="L660" s="549"/>
      <c r="M660" s="25"/>
    </row>
    <row r="661" spans="2:13" x14ac:dyDescent="0.2">
      <c r="B661" s="550" t="s">
        <v>50</v>
      </c>
      <c r="C661" s="550"/>
      <c r="D661" s="551" t="s">
        <v>51</v>
      </c>
      <c r="E661" s="551"/>
      <c r="F661" s="551"/>
      <c r="G661" s="381"/>
      <c r="H661" s="381"/>
      <c r="I661" s="381"/>
      <c r="J661" s="381"/>
      <c r="K661" s="381"/>
      <c r="L661" s="382"/>
      <c r="M661" s="25"/>
    </row>
    <row r="662" spans="2:13" ht="24" x14ac:dyDescent="0.2">
      <c r="B662" s="56" t="s">
        <v>1</v>
      </c>
      <c r="C662" s="57" t="s">
        <v>2</v>
      </c>
      <c r="D662" s="57" t="s">
        <v>2</v>
      </c>
      <c r="E662" s="5" t="s">
        <v>3</v>
      </c>
      <c r="F662" s="5" t="s">
        <v>4</v>
      </c>
      <c r="G662" s="89" t="s">
        <v>6</v>
      </c>
      <c r="H662" s="83" t="s">
        <v>7</v>
      </c>
      <c r="I662" s="83" t="s">
        <v>52</v>
      </c>
      <c r="J662" s="83" t="s">
        <v>53</v>
      </c>
      <c r="K662" s="5" t="s">
        <v>10</v>
      </c>
      <c r="L662" s="5" t="s">
        <v>11</v>
      </c>
      <c r="M662" s="25"/>
    </row>
    <row r="663" spans="2:13" x14ac:dyDescent="0.2">
      <c r="B663" s="58"/>
      <c r="C663" s="59"/>
      <c r="D663" s="59"/>
      <c r="E663" s="13"/>
      <c r="F663" s="13"/>
      <c r="G663" s="24"/>
      <c r="H663" s="60"/>
      <c r="I663" s="61"/>
      <c r="J663" s="61"/>
      <c r="K663" s="61"/>
      <c r="L663" s="60">
        <f>L657</f>
        <v>82111.850000000035</v>
      </c>
      <c r="M663" s="25"/>
    </row>
    <row r="664" spans="2:13" x14ac:dyDescent="0.2">
      <c r="B664" s="110">
        <v>44105</v>
      </c>
      <c r="C664" s="462" t="s">
        <v>826</v>
      </c>
      <c r="D664" s="11"/>
      <c r="E664" s="15"/>
      <c r="F664" s="15"/>
      <c r="G664" s="15"/>
      <c r="H664" s="112">
        <v>220</v>
      </c>
      <c r="I664" s="12">
        <f>H664*0.32</f>
        <v>70.400000000000006</v>
      </c>
      <c r="J664" s="12">
        <f>H664*0.68</f>
        <v>149.60000000000002</v>
      </c>
      <c r="K664" s="12"/>
      <c r="L664" s="63">
        <f>+J664-K664+L663</f>
        <v>82261.450000000041</v>
      </c>
      <c r="M664" s="25"/>
    </row>
    <row r="665" spans="2:13" x14ac:dyDescent="0.2">
      <c r="B665" s="110">
        <v>44106</v>
      </c>
      <c r="C665" s="462" t="s">
        <v>826</v>
      </c>
      <c r="D665" s="11"/>
      <c r="E665" s="15"/>
      <c r="F665" s="15"/>
      <c r="G665" s="15"/>
      <c r="H665" s="112">
        <v>1310</v>
      </c>
      <c r="I665" s="12">
        <f t="shared" ref="I665:I695" si="47">H665*0.32</f>
        <v>419.2</v>
      </c>
      <c r="J665" s="12">
        <f t="shared" ref="J665:J695" si="48">H665*0.68</f>
        <v>890.80000000000007</v>
      </c>
      <c r="K665" s="12"/>
      <c r="L665" s="63">
        <f t="shared" ref="L665:L674" si="49">+J665-K665+L664</f>
        <v>83152.250000000044</v>
      </c>
      <c r="M665" s="25"/>
    </row>
    <row r="666" spans="2:13" x14ac:dyDescent="0.2">
      <c r="B666" s="110">
        <v>44107</v>
      </c>
      <c r="C666" s="462" t="s">
        <v>826</v>
      </c>
      <c r="D666" s="11"/>
      <c r="E666" s="15"/>
      <c r="F666" s="15"/>
      <c r="G666" s="15"/>
      <c r="H666" s="112">
        <v>120</v>
      </c>
      <c r="I666" s="12">
        <f t="shared" si="47"/>
        <v>38.4</v>
      </c>
      <c r="J666" s="12">
        <f t="shared" si="48"/>
        <v>81.600000000000009</v>
      </c>
      <c r="K666" s="12"/>
      <c r="L666" s="63">
        <f t="shared" si="49"/>
        <v>83233.850000000049</v>
      </c>
      <c r="M666" s="25"/>
    </row>
    <row r="667" spans="2:13" x14ac:dyDescent="0.2">
      <c r="B667" s="110">
        <v>44110</v>
      </c>
      <c r="C667" s="462" t="s">
        <v>826</v>
      </c>
      <c r="D667" s="11"/>
      <c r="E667" s="15"/>
      <c r="F667" s="15"/>
      <c r="G667" s="15"/>
      <c r="H667" s="112">
        <v>684</v>
      </c>
      <c r="I667" s="12">
        <f t="shared" si="47"/>
        <v>218.88</v>
      </c>
      <c r="J667" s="12">
        <f t="shared" si="48"/>
        <v>465.12000000000006</v>
      </c>
      <c r="K667" s="12"/>
      <c r="L667" s="63">
        <f t="shared" si="49"/>
        <v>83698.970000000045</v>
      </c>
      <c r="M667" s="25"/>
    </row>
    <row r="668" spans="2:13" x14ac:dyDescent="0.2">
      <c r="B668" s="110">
        <v>44112</v>
      </c>
      <c r="C668" s="462" t="s">
        <v>826</v>
      </c>
      <c r="D668" s="11"/>
      <c r="E668" s="15"/>
      <c r="F668" s="15"/>
      <c r="G668" s="15"/>
      <c r="H668" s="112">
        <v>220</v>
      </c>
      <c r="I668" s="12">
        <f t="shared" si="47"/>
        <v>70.400000000000006</v>
      </c>
      <c r="J668" s="12">
        <f t="shared" si="48"/>
        <v>149.60000000000002</v>
      </c>
      <c r="K668" s="12"/>
      <c r="L668" s="63">
        <f t="shared" si="49"/>
        <v>83848.570000000051</v>
      </c>
      <c r="M668" s="25"/>
    </row>
    <row r="669" spans="2:13" x14ac:dyDescent="0.2">
      <c r="B669" s="110">
        <v>44113</v>
      </c>
      <c r="C669" s="462" t="s">
        <v>826</v>
      </c>
      <c r="D669" s="11"/>
      <c r="E669" s="15"/>
      <c r="F669" s="15"/>
      <c r="G669" s="15"/>
      <c r="H669" s="112">
        <v>220</v>
      </c>
      <c r="I669" s="12">
        <f t="shared" si="47"/>
        <v>70.400000000000006</v>
      </c>
      <c r="J669" s="12">
        <f t="shared" si="48"/>
        <v>149.60000000000002</v>
      </c>
      <c r="K669" s="12"/>
      <c r="L669" s="63">
        <f t="shared" si="49"/>
        <v>83998.170000000056</v>
      </c>
      <c r="M669" s="25"/>
    </row>
    <row r="670" spans="2:13" x14ac:dyDescent="0.2">
      <c r="B670" s="110">
        <v>44117</v>
      </c>
      <c r="C670" s="462" t="s">
        <v>826</v>
      </c>
      <c r="D670" s="11"/>
      <c r="E670" s="15"/>
      <c r="F670" s="15"/>
      <c r="G670" s="15"/>
      <c r="H670" s="112">
        <v>640</v>
      </c>
      <c r="I670" s="12">
        <f t="shared" si="47"/>
        <v>204.8</v>
      </c>
      <c r="J670" s="12">
        <f t="shared" si="48"/>
        <v>435.20000000000005</v>
      </c>
      <c r="K670" s="12"/>
      <c r="L670" s="63">
        <f t="shared" si="49"/>
        <v>84433.370000000054</v>
      </c>
      <c r="M670" s="25"/>
    </row>
    <row r="671" spans="2:13" x14ac:dyDescent="0.2">
      <c r="B671" s="110">
        <v>44118</v>
      </c>
      <c r="C671" s="462" t="s">
        <v>826</v>
      </c>
      <c r="D671" s="77"/>
      <c r="E671" s="15"/>
      <c r="F671" s="15"/>
      <c r="G671" s="15"/>
      <c r="H671" s="112">
        <v>220</v>
      </c>
      <c r="I671" s="12">
        <f t="shared" si="47"/>
        <v>70.400000000000006</v>
      </c>
      <c r="J671" s="12">
        <f t="shared" si="48"/>
        <v>149.60000000000002</v>
      </c>
      <c r="K671" s="12"/>
      <c r="L671" s="63">
        <f t="shared" si="49"/>
        <v>84582.970000000059</v>
      </c>
      <c r="M671" s="25"/>
    </row>
    <row r="672" spans="2:13" x14ac:dyDescent="0.2">
      <c r="B672" s="110">
        <v>44119</v>
      </c>
      <c r="C672" s="462" t="s">
        <v>826</v>
      </c>
      <c r="D672" s="11"/>
      <c r="E672" s="15"/>
      <c r="F672" s="15"/>
      <c r="G672" s="15"/>
      <c r="H672" s="112">
        <v>144</v>
      </c>
      <c r="I672" s="12">
        <f t="shared" si="47"/>
        <v>46.08</v>
      </c>
      <c r="J672" s="12">
        <f t="shared" si="48"/>
        <v>97.92</v>
      </c>
      <c r="K672" s="12"/>
      <c r="L672" s="63">
        <f t="shared" si="49"/>
        <v>84680.890000000058</v>
      </c>
      <c r="M672" s="25"/>
    </row>
    <row r="673" spans="2:13" x14ac:dyDescent="0.2">
      <c r="B673" s="110">
        <v>44120</v>
      </c>
      <c r="C673" s="462" t="s">
        <v>826</v>
      </c>
      <c r="D673" s="11"/>
      <c r="E673" s="15"/>
      <c r="F673" s="15"/>
      <c r="G673" s="15"/>
      <c r="H673" s="112">
        <v>150</v>
      </c>
      <c r="I673" s="12">
        <f t="shared" si="47"/>
        <v>48</v>
      </c>
      <c r="J673" s="12">
        <f t="shared" si="48"/>
        <v>102.00000000000001</v>
      </c>
      <c r="K673" s="12"/>
      <c r="L673" s="63">
        <f t="shared" si="49"/>
        <v>84782.890000000058</v>
      </c>
      <c r="M673" s="25"/>
    </row>
    <row r="674" spans="2:13" x14ac:dyDescent="0.2">
      <c r="B674" s="110">
        <v>44121</v>
      </c>
      <c r="C674" s="462" t="s">
        <v>826</v>
      </c>
      <c r="D674" s="11"/>
      <c r="E674" s="15"/>
      <c r="F674" s="15"/>
      <c r="G674" s="15"/>
      <c r="H674" s="112">
        <v>730</v>
      </c>
      <c r="I674" s="12">
        <f t="shared" si="47"/>
        <v>233.6</v>
      </c>
      <c r="J674" s="12">
        <f t="shared" si="48"/>
        <v>496.40000000000003</v>
      </c>
      <c r="K674" s="12"/>
      <c r="L674" s="63">
        <f t="shared" si="49"/>
        <v>85279.290000000052</v>
      </c>
      <c r="M674" s="25"/>
    </row>
    <row r="675" spans="2:13" x14ac:dyDescent="0.2">
      <c r="B675" s="110">
        <v>44123</v>
      </c>
      <c r="C675" s="462" t="s">
        <v>826</v>
      </c>
      <c r="D675" s="65"/>
      <c r="E675" s="13"/>
      <c r="F675" s="15"/>
      <c r="G675" s="15"/>
      <c r="H675" s="112">
        <v>220</v>
      </c>
      <c r="I675" s="12">
        <f t="shared" si="47"/>
        <v>70.400000000000006</v>
      </c>
      <c r="J675" s="12">
        <f t="shared" si="48"/>
        <v>149.60000000000002</v>
      </c>
      <c r="K675" s="12"/>
      <c r="L675" s="63">
        <f>+J675-K675+L674</f>
        <v>85428.890000000058</v>
      </c>
      <c r="M675" s="25"/>
    </row>
    <row r="676" spans="2:13" x14ac:dyDescent="0.2">
      <c r="B676" s="110">
        <v>44124</v>
      </c>
      <c r="C676" s="462" t="s">
        <v>826</v>
      </c>
      <c r="D676" s="65"/>
      <c r="E676" s="13"/>
      <c r="F676" s="15"/>
      <c r="G676" s="15"/>
      <c r="H676" s="112">
        <v>150</v>
      </c>
      <c r="I676" s="12">
        <f t="shared" si="47"/>
        <v>48</v>
      </c>
      <c r="J676" s="12">
        <f t="shared" si="48"/>
        <v>102.00000000000001</v>
      </c>
      <c r="K676" s="12"/>
      <c r="L676" s="63">
        <f t="shared" ref="L676:L719" si="50">+J676-K676+L675</f>
        <v>85530.890000000058</v>
      </c>
      <c r="M676" s="25"/>
    </row>
    <row r="677" spans="2:13" x14ac:dyDescent="0.2">
      <c r="B677" s="110">
        <v>44132</v>
      </c>
      <c r="C677" s="462" t="s">
        <v>826</v>
      </c>
      <c r="D677" s="65"/>
      <c r="E677" s="13"/>
      <c r="F677" s="15"/>
      <c r="G677" s="15"/>
      <c r="H677" s="112">
        <v>30</v>
      </c>
      <c r="I677" s="12">
        <f t="shared" si="47"/>
        <v>9.6</v>
      </c>
      <c r="J677" s="12">
        <f t="shared" si="48"/>
        <v>20.400000000000002</v>
      </c>
      <c r="K677" s="12"/>
      <c r="L677" s="63">
        <f t="shared" si="50"/>
        <v>85551.290000000052</v>
      </c>
      <c r="M677" s="25"/>
    </row>
    <row r="678" spans="2:13" x14ac:dyDescent="0.2">
      <c r="B678" s="110">
        <v>44133</v>
      </c>
      <c r="C678" s="462" t="s">
        <v>826</v>
      </c>
      <c r="D678" s="65"/>
      <c r="E678" s="13"/>
      <c r="F678" s="15"/>
      <c r="G678" s="15"/>
      <c r="H678" s="112">
        <v>30</v>
      </c>
      <c r="I678" s="12">
        <f t="shared" si="47"/>
        <v>9.6</v>
      </c>
      <c r="J678" s="12">
        <f t="shared" si="48"/>
        <v>20.400000000000002</v>
      </c>
      <c r="K678" s="12"/>
      <c r="L678" s="63">
        <f t="shared" si="50"/>
        <v>85571.690000000046</v>
      </c>
      <c r="M678" s="25"/>
    </row>
    <row r="679" spans="2:13" x14ac:dyDescent="0.2">
      <c r="B679" s="110"/>
      <c r="C679" s="353"/>
      <c r="D679" s="65"/>
      <c r="E679" s="13"/>
      <c r="F679" s="15"/>
      <c r="G679" s="15"/>
      <c r="H679" s="112"/>
      <c r="I679" s="12">
        <f t="shared" si="47"/>
        <v>0</v>
      </c>
      <c r="J679" s="12">
        <f t="shared" si="48"/>
        <v>0</v>
      </c>
      <c r="K679" s="12"/>
      <c r="L679" s="63">
        <f t="shared" si="50"/>
        <v>85571.690000000046</v>
      </c>
      <c r="M679" s="25"/>
    </row>
    <row r="680" spans="2:13" x14ac:dyDescent="0.2">
      <c r="B680" s="110"/>
      <c r="C680" s="353"/>
      <c r="D680" s="65"/>
      <c r="E680" s="13"/>
      <c r="F680" s="15"/>
      <c r="G680" s="15"/>
      <c r="H680" s="112"/>
      <c r="I680" s="12">
        <f t="shared" si="47"/>
        <v>0</v>
      </c>
      <c r="J680" s="12">
        <f t="shared" si="48"/>
        <v>0</v>
      </c>
      <c r="K680" s="12"/>
      <c r="L680" s="63">
        <f t="shared" si="50"/>
        <v>85571.690000000046</v>
      </c>
      <c r="M680" s="25"/>
    </row>
    <row r="681" spans="2:13" x14ac:dyDescent="0.2">
      <c r="B681" s="110">
        <v>44111</v>
      </c>
      <c r="C681" s="353" t="s">
        <v>847</v>
      </c>
      <c r="D681" s="65" t="s">
        <v>34</v>
      </c>
      <c r="E681" s="13"/>
      <c r="F681" s="15"/>
      <c r="G681" s="15"/>
      <c r="H681" s="112">
        <v>110</v>
      </c>
      <c r="I681" s="12">
        <f t="shared" si="47"/>
        <v>35.200000000000003</v>
      </c>
      <c r="J681" s="12">
        <f t="shared" si="48"/>
        <v>74.800000000000011</v>
      </c>
      <c r="K681" s="12"/>
      <c r="L681" s="63">
        <f t="shared" si="50"/>
        <v>85646.490000000049</v>
      </c>
      <c r="M681" s="25"/>
    </row>
    <row r="682" spans="2:13" x14ac:dyDescent="0.2">
      <c r="B682" s="110">
        <v>44111</v>
      </c>
      <c r="C682" s="353" t="s">
        <v>847</v>
      </c>
      <c r="D682" s="65" t="s">
        <v>34</v>
      </c>
      <c r="E682" s="13"/>
      <c r="F682" s="15"/>
      <c r="G682" s="15"/>
      <c r="H682" s="112">
        <v>110</v>
      </c>
      <c r="I682" s="12">
        <f t="shared" si="47"/>
        <v>35.200000000000003</v>
      </c>
      <c r="J682" s="12">
        <f t="shared" si="48"/>
        <v>74.800000000000011</v>
      </c>
      <c r="K682" s="12"/>
      <c r="L682" s="63">
        <f t="shared" si="50"/>
        <v>85721.290000000052</v>
      </c>
      <c r="M682" s="25"/>
    </row>
    <row r="683" spans="2:13" x14ac:dyDescent="0.2">
      <c r="B683" s="110">
        <v>44131</v>
      </c>
      <c r="C683" s="353" t="s">
        <v>847</v>
      </c>
      <c r="D683" s="65" t="s">
        <v>34</v>
      </c>
      <c r="E683" s="13"/>
      <c r="F683" s="15"/>
      <c r="G683" s="15"/>
      <c r="H683" s="112">
        <v>110</v>
      </c>
      <c r="I683" s="12">
        <f t="shared" si="47"/>
        <v>35.200000000000003</v>
      </c>
      <c r="J683" s="12">
        <f t="shared" si="48"/>
        <v>74.800000000000011</v>
      </c>
      <c r="K683" s="12"/>
      <c r="L683" s="63">
        <f t="shared" si="50"/>
        <v>85796.090000000055</v>
      </c>
      <c r="M683" s="25"/>
    </row>
    <row r="684" spans="2:13" x14ac:dyDescent="0.2">
      <c r="B684" s="110"/>
      <c r="C684" s="353"/>
      <c r="D684" s="65"/>
      <c r="E684" s="13"/>
      <c r="F684" s="15"/>
      <c r="G684" s="15"/>
      <c r="H684" s="112"/>
      <c r="I684" s="12">
        <f t="shared" si="47"/>
        <v>0</v>
      </c>
      <c r="J684" s="12">
        <f t="shared" si="48"/>
        <v>0</v>
      </c>
      <c r="K684" s="12"/>
      <c r="L684" s="63">
        <f t="shared" si="50"/>
        <v>85796.090000000055</v>
      </c>
      <c r="M684" s="25"/>
    </row>
    <row r="685" spans="2:13" x14ac:dyDescent="0.2">
      <c r="B685" s="453"/>
      <c r="C685" s="457"/>
      <c r="D685" s="459"/>
      <c r="E685" s="460"/>
      <c r="F685" s="455"/>
      <c r="G685" s="455"/>
      <c r="H685" s="456"/>
      <c r="I685" s="12">
        <f t="shared" si="47"/>
        <v>0</v>
      </c>
      <c r="J685" s="12">
        <f t="shared" si="48"/>
        <v>0</v>
      </c>
      <c r="K685" s="12"/>
      <c r="L685" s="63">
        <f t="shared" si="50"/>
        <v>85796.090000000055</v>
      </c>
      <c r="M685" s="25"/>
    </row>
    <row r="686" spans="2:13" x14ac:dyDescent="0.2">
      <c r="B686" s="110">
        <v>44476</v>
      </c>
      <c r="C686" s="353" t="s">
        <v>847</v>
      </c>
      <c r="D686" s="65" t="s">
        <v>35</v>
      </c>
      <c r="E686" s="460"/>
      <c r="F686" s="455"/>
      <c r="G686" s="455"/>
      <c r="H686" s="456">
        <v>100</v>
      </c>
      <c r="I686" s="12">
        <f t="shared" si="47"/>
        <v>32</v>
      </c>
      <c r="J686" s="12">
        <f t="shared" si="48"/>
        <v>68</v>
      </c>
      <c r="K686" s="12"/>
      <c r="L686" s="63">
        <f t="shared" si="50"/>
        <v>85864.090000000055</v>
      </c>
      <c r="M686" s="25"/>
    </row>
    <row r="687" spans="2:13" x14ac:dyDescent="0.2">
      <c r="B687" s="110"/>
      <c r="C687" s="353"/>
      <c r="D687" s="65"/>
      <c r="E687" s="13"/>
      <c r="F687" s="15"/>
      <c r="G687" s="15"/>
      <c r="H687" s="112"/>
      <c r="I687" s="12">
        <f t="shared" si="47"/>
        <v>0</v>
      </c>
      <c r="J687" s="12">
        <f t="shared" si="48"/>
        <v>0</v>
      </c>
      <c r="K687" s="12"/>
      <c r="L687" s="63">
        <f t="shared" si="50"/>
        <v>85864.090000000055</v>
      </c>
      <c r="M687" s="25"/>
    </row>
    <row r="688" spans="2:13" x14ac:dyDescent="0.2">
      <c r="B688" s="110"/>
      <c r="C688" s="353"/>
      <c r="D688" s="65"/>
      <c r="E688" s="13"/>
      <c r="F688" s="15"/>
      <c r="G688" s="15"/>
      <c r="H688" s="112"/>
      <c r="I688" s="12">
        <f t="shared" si="47"/>
        <v>0</v>
      </c>
      <c r="J688" s="12">
        <f t="shared" si="48"/>
        <v>0</v>
      </c>
      <c r="K688" s="12"/>
      <c r="L688" s="63">
        <f t="shared" si="50"/>
        <v>85864.090000000055</v>
      </c>
      <c r="M688" s="25"/>
    </row>
    <row r="689" spans="2:13" x14ac:dyDescent="0.2">
      <c r="B689" s="110"/>
      <c r="C689" s="353"/>
      <c r="D689" s="65"/>
      <c r="E689" s="13"/>
      <c r="F689" s="15"/>
      <c r="G689" s="15"/>
      <c r="H689" s="112"/>
      <c r="I689" s="12">
        <f t="shared" si="47"/>
        <v>0</v>
      </c>
      <c r="J689" s="12">
        <f t="shared" si="48"/>
        <v>0</v>
      </c>
      <c r="K689" s="12"/>
      <c r="L689" s="63">
        <f t="shared" si="50"/>
        <v>85864.090000000055</v>
      </c>
      <c r="M689" s="25"/>
    </row>
    <row r="690" spans="2:13" x14ac:dyDescent="0.2">
      <c r="B690" s="110"/>
      <c r="C690" s="353"/>
      <c r="D690" s="65"/>
      <c r="E690" s="13"/>
      <c r="F690" s="15"/>
      <c r="G690" s="15"/>
      <c r="H690" s="112"/>
      <c r="I690" s="12">
        <f t="shared" si="47"/>
        <v>0</v>
      </c>
      <c r="J690" s="12">
        <f t="shared" si="48"/>
        <v>0</v>
      </c>
      <c r="K690" s="12"/>
      <c r="L690" s="63">
        <f t="shared" si="50"/>
        <v>85864.090000000055</v>
      </c>
      <c r="M690" s="25"/>
    </row>
    <row r="691" spans="2:13" x14ac:dyDescent="0.2">
      <c r="B691" s="110"/>
      <c r="C691" s="353"/>
      <c r="D691" s="65"/>
      <c r="E691" s="13"/>
      <c r="F691" s="15"/>
      <c r="G691" s="15"/>
      <c r="H691" s="112"/>
      <c r="I691" s="12">
        <f t="shared" si="47"/>
        <v>0</v>
      </c>
      <c r="J691" s="12">
        <f t="shared" si="48"/>
        <v>0</v>
      </c>
      <c r="K691" s="12"/>
      <c r="L691" s="63">
        <f t="shared" si="50"/>
        <v>85864.090000000055</v>
      </c>
      <c r="M691" s="25"/>
    </row>
    <row r="692" spans="2:13" x14ac:dyDescent="0.2">
      <c r="B692" s="110"/>
      <c r="C692" s="353"/>
      <c r="D692" s="65"/>
      <c r="E692" s="13"/>
      <c r="F692" s="15"/>
      <c r="G692" s="15"/>
      <c r="H692" s="112"/>
      <c r="I692" s="12">
        <f t="shared" si="47"/>
        <v>0</v>
      </c>
      <c r="J692" s="12">
        <f t="shared" si="48"/>
        <v>0</v>
      </c>
      <c r="K692" s="12"/>
      <c r="L692" s="63">
        <f t="shared" si="50"/>
        <v>85864.090000000055</v>
      </c>
      <c r="M692" s="25"/>
    </row>
    <row r="693" spans="2:13" x14ac:dyDescent="0.2">
      <c r="B693" s="110"/>
      <c r="C693" s="353"/>
      <c r="D693" s="65"/>
      <c r="E693" s="13"/>
      <c r="F693" s="15"/>
      <c r="G693" s="15"/>
      <c r="H693" s="112"/>
      <c r="I693" s="12">
        <f t="shared" si="47"/>
        <v>0</v>
      </c>
      <c r="J693" s="12">
        <f t="shared" si="48"/>
        <v>0</v>
      </c>
      <c r="K693" s="12"/>
      <c r="L693" s="63">
        <f t="shared" si="50"/>
        <v>85864.090000000055</v>
      </c>
      <c r="M693" s="25"/>
    </row>
    <row r="694" spans="2:13" x14ac:dyDescent="0.2">
      <c r="B694" s="110"/>
      <c r="C694" s="353"/>
      <c r="D694" s="65"/>
      <c r="E694" s="13"/>
      <c r="F694" s="15"/>
      <c r="G694" s="15"/>
      <c r="H694" s="112"/>
      <c r="I694" s="12">
        <f t="shared" si="47"/>
        <v>0</v>
      </c>
      <c r="J694" s="12">
        <f t="shared" si="48"/>
        <v>0</v>
      </c>
      <c r="K694" s="12"/>
      <c r="L694" s="63">
        <f t="shared" si="50"/>
        <v>85864.090000000055</v>
      </c>
      <c r="M694" s="25"/>
    </row>
    <row r="695" spans="2:13" x14ac:dyDescent="0.2">
      <c r="B695" s="110"/>
      <c r="C695" s="353"/>
      <c r="D695" s="65"/>
      <c r="E695" s="13"/>
      <c r="F695" s="15"/>
      <c r="G695" s="15"/>
      <c r="H695" s="112"/>
      <c r="I695" s="12">
        <f t="shared" si="47"/>
        <v>0</v>
      </c>
      <c r="J695" s="12">
        <f t="shared" si="48"/>
        <v>0</v>
      </c>
      <c r="K695" s="12"/>
      <c r="L695" s="63">
        <f t="shared" si="50"/>
        <v>85864.090000000055</v>
      </c>
      <c r="M695" s="25"/>
    </row>
    <row r="696" spans="2:13" x14ac:dyDescent="0.2">
      <c r="B696" s="110"/>
      <c r="C696" s="353"/>
      <c r="D696" s="65"/>
      <c r="E696" s="13"/>
      <c r="F696" s="15"/>
      <c r="G696" s="15"/>
      <c r="H696" s="112"/>
      <c r="I696" s="12"/>
      <c r="J696" s="12"/>
      <c r="K696" s="12"/>
      <c r="L696" s="63">
        <f t="shared" si="50"/>
        <v>85864.090000000055</v>
      </c>
      <c r="M696" s="25"/>
    </row>
    <row r="697" spans="2:13" x14ac:dyDescent="0.2">
      <c r="B697" s="110"/>
      <c r="C697" s="353"/>
      <c r="D697" s="65"/>
      <c r="E697" s="13"/>
      <c r="F697" s="15"/>
      <c r="G697" s="15"/>
      <c r="H697" s="112"/>
      <c r="I697" s="12"/>
      <c r="J697" s="12"/>
      <c r="K697" s="12"/>
      <c r="L697" s="63">
        <f t="shared" si="50"/>
        <v>85864.090000000055</v>
      </c>
      <c r="M697" s="25"/>
    </row>
    <row r="698" spans="2:13" x14ac:dyDescent="0.2">
      <c r="B698" s="110"/>
      <c r="C698" s="353"/>
      <c r="D698" s="65"/>
      <c r="E698" s="13"/>
      <c r="F698" s="15"/>
      <c r="G698" s="15"/>
      <c r="H698" s="112"/>
      <c r="I698" s="12"/>
      <c r="J698" s="12"/>
      <c r="K698" s="12"/>
      <c r="L698" s="63">
        <f t="shared" si="50"/>
        <v>85864.090000000055</v>
      </c>
      <c r="M698" s="25"/>
    </row>
    <row r="699" spans="2:13" x14ac:dyDescent="0.2">
      <c r="B699" s="110"/>
      <c r="C699" s="353"/>
      <c r="D699" s="65"/>
      <c r="E699" s="13"/>
      <c r="F699" s="15"/>
      <c r="G699" s="15"/>
      <c r="H699" s="112"/>
      <c r="I699" s="12"/>
      <c r="J699" s="12"/>
      <c r="K699" s="12"/>
      <c r="L699" s="63">
        <f t="shared" si="50"/>
        <v>85864.090000000055</v>
      </c>
      <c r="M699" s="25"/>
    </row>
    <row r="700" spans="2:13" x14ac:dyDescent="0.2">
      <c r="B700" s="110"/>
      <c r="C700" s="353"/>
      <c r="D700" s="65"/>
      <c r="E700" s="13"/>
      <c r="F700" s="15"/>
      <c r="G700" s="15"/>
      <c r="H700" s="112"/>
      <c r="I700" s="12"/>
      <c r="J700" s="12"/>
      <c r="K700" s="12"/>
      <c r="L700" s="63">
        <f t="shared" si="50"/>
        <v>85864.090000000055</v>
      </c>
      <c r="M700" s="25"/>
    </row>
    <row r="701" spans="2:13" x14ac:dyDescent="0.2">
      <c r="B701" s="110"/>
      <c r="C701" s="65"/>
      <c r="D701" s="65"/>
      <c r="E701" s="13"/>
      <c r="F701" s="15"/>
      <c r="G701" s="66"/>
      <c r="H701" s="112"/>
      <c r="I701" s="12"/>
      <c r="J701" s="12"/>
      <c r="K701" s="12"/>
      <c r="L701" s="63">
        <f t="shared" si="50"/>
        <v>85864.090000000055</v>
      </c>
    </row>
    <row r="702" spans="2:13" x14ac:dyDescent="0.2">
      <c r="B702" s="547" t="s">
        <v>408</v>
      </c>
      <c r="C702" s="548"/>
      <c r="D702" s="548"/>
      <c r="E702" s="548"/>
      <c r="F702" s="548"/>
      <c r="G702" s="548"/>
      <c r="H702" s="548"/>
      <c r="I702" s="548"/>
      <c r="J702" s="548"/>
      <c r="K702" s="549"/>
      <c r="L702" s="63">
        <f t="shared" si="50"/>
        <v>85864.090000000055</v>
      </c>
    </row>
    <row r="703" spans="2:13" x14ac:dyDescent="0.2">
      <c r="B703" s="552" t="s">
        <v>56</v>
      </c>
      <c r="C703" s="553"/>
      <c r="D703" s="554" t="s">
        <v>51</v>
      </c>
      <c r="E703" s="554"/>
      <c r="F703" s="554"/>
      <c r="G703" s="94"/>
      <c r="H703" s="95"/>
      <c r="I703" s="96"/>
      <c r="J703" s="96"/>
      <c r="K703" s="97"/>
      <c r="L703" s="63">
        <f t="shared" si="50"/>
        <v>85864.090000000055</v>
      </c>
    </row>
    <row r="704" spans="2:13" x14ac:dyDescent="0.2">
      <c r="B704" s="91" t="s">
        <v>1</v>
      </c>
      <c r="C704" s="92" t="s">
        <v>57</v>
      </c>
      <c r="D704" s="92" t="s">
        <v>2</v>
      </c>
      <c r="E704" s="383" t="s">
        <v>3</v>
      </c>
      <c r="F704" s="383" t="s">
        <v>4</v>
      </c>
      <c r="G704" s="561" t="s">
        <v>58</v>
      </c>
      <c r="H704" s="562"/>
      <c r="I704" s="562"/>
      <c r="J704" s="563"/>
      <c r="K704" s="90"/>
      <c r="L704" s="63">
        <f t="shared" si="50"/>
        <v>85864.090000000055</v>
      </c>
    </row>
    <row r="705" spans="2:12" ht="51.75" customHeight="1" x14ac:dyDescent="0.2">
      <c r="B705" s="64" t="s">
        <v>33</v>
      </c>
      <c r="C705" s="77" t="s">
        <v>824</v>
      </c>
      <c r="D705" s="78"/>
      <c r="E705" s="3"/>
      <c r="F705" s="16"/>
      <c r="G705" s="585" t="s">
        <v>835</v>
      </c>
      <c r="H705" s="586"/>
      <c r="I705" s="587"/>
      <c r="J705" s="12"/>
      <c r="K705" s="12">
        <v>800</v>
      </c>
      <c r="L705" s="63">
        <f t="shared" si="50"/>
        <v>85064.090000000055</v>
      </c>
    </row>
    <row r="706" spans="2:12" ht="52.5" customHeight="1" x14ac:dyDescent="0.2">
      <c r="B706" s="10" t="s">
        <v>33</v>
      </c>
      <c r="C706" s="77"/>
      <c r="D706" s="77"/>
      <c r="E706" s="3"/>
      <c r="F706" s="16"/>
      <c r="G706" s="585" t="s">
        <v>836</v>
      </c>
      <c r="H706" s="586"/>
      <c r="I706" s="587"/>
      <c r="J706" s="349"/>
      <c r="K706" s="70">
        <v>1000</v>
      </c>
      <c r="L706" s="63">
        <f t="shared" si="50"/>
        <v>84064.090000000055</v>
      </c>
    </row>
    <row r="707" spans="2:12" ht="48" customHeight="1" x14ac:dyDescent="0.2">
      <c r="B707" s="10" t="s">
        <v>33</v>
      </c>
      <c r="C707" s="77"/>
      <c r="D707" s="77"/>
      <c r="E707" s="3"/>
      <c r="F707" s="16"/>
      <c r="G707" s="585" t="s">
        <v>837</v>
      </c>
      <c r="H707" s="586"/>
      <c r="I707" s="587"/>
      <c r="J707" s="349"/>
      <c r="K707" s="70"/>
      <c r="L707" s="63">
        <f t="shared" si="50"/>
        <v>84064.090000000055</v>
      </c>
    </row>
    <row r="708" spans="2:12" ht="16.5" customHeight="1" x14ac:dyDescent="0.2">
      <c r="B708" s="10"/>
      <c r="C708" s="77"/>
      <c r="D708" s="77"/>
      <c r="E708" s="3"/>
      <c r="F708" s="16"/>
      <c r="G708" s="600" t="s">
        <v>243</v>
      </c>
      <c r="H708" s="601"/>
      <c r="I708" s="602"/>
      <c r="J708" s="349"/>
      <c r="K708" s="70">
        <v>2000</v>
      </c>
      <c r="L708" s="63">
        <f t="shared" si="50"/>
        <v>82064.090000000055</v>
      </c>
    </row>
    <row r="709" spans="2:12" x14ac:dyDescent="0.2">
      <c r="B709" s="10"/>
      <c r="C709" s="77"/>
      <c r="D709" s="77"/>
      <c r="E709" s="3"/>
      <c r="F709" s="16"/>
      <c r="G709" s="600" t="s">
        <v>822</v>
      </c>
      <c r="H709" s="601"/>
      <c r="I709" s="602"/>
      <c r="J709" s="349"/>
      <c r="K709" s="70">
        <v>2250</v>
      </c>
      <c r="L709" s="63">
        <f t="shared" si="50"/>
        <v>79814.090000000055</v>
      </c>
    </row>
    <row r="710" spans="2:12" x14ac:dyDescent="0.2">
      <c r="B710" s="10"/>
      <c r="C710" s="77"/>
      <c r="D710" s="77"/>
      <c r="E710" s="3"/>
      <c r="F710" s="16"/>
      <c r="G710" s="603" t="s">
        <v>823</v>
      </c>
      <c r="H710" s="604"/>
      <c r="I710" s="605"/>
      <c r="J710" s="349"/>
      <c r="K710" s="70">
        <v>750</v>
      </c>
      <c r="L710" s="63">
        <f t="shared" si="50"/>
        <v>79064.090000000055</v>
      </c>
    </row>
    <row r="711" spans="2:12" x14ac:dyDescent="0.2">
      <c r="B711" s="10"/>
      <c r="C711" s="77"/>
      <c r="D711" s="77"/>
      <c r="E711" s="3"/>
      <c r="F711" s="16"/>
      <c r="G711" s="597" t="s">
        <v>838</v>
      </c>
      <c r="H711" s="598"/>
      <c r="I711" s="599"/>
      <c r="J711" s="349"/>
      <c r="K711" s="441">
        <v>1700</v>
      </c>
      <c r="L711" s="63">
        <f t="shared" si="50"/>
        <v>77364.090000000055</v>
      </c>
    </row>
    <row r="712" spans="2:12" x14ac:dyDescent="0.2">
      <c r="B712" s="10"/>
      <c r="C712" s="77"/>
      <c r="D712" s="77"/>
      <c r="E712" s="3"/>
      <c r="F712" s="16"/>
      <c r="G712" s="597" t="s">
        <v>795</v>
      </c>
      <c r="H712" s="598"/>
      <c r="I712" s="599"/>
      <c r="J712" s="349"/>
      <c r="K712" s="441">
        <v>900</v>
      </c>
      <c r="L712" s="63">
        <f t="shared" si="50"/>
        <v>76464.090000000055</v>
      </c>
    </row>
    <row r="713" spans="2:12" ht="40.5" customHeight="1" x14ac:dyDescent="0.2">
      <c r="B713" s="10"/>
      <c r="C713" s="77"/>
      <c r="D713" s="77"/>
      <c r="E713" s="3"/>
      <c r="F713" s="16"/>
      <c r="G713" s="597" t="s">
        <v>796</v>
      </c>
      <c r="H713" s="598"/>
      <c r="I713" s="599"/>
      <c r="J713" s="349"/>
      <c r="K713" s="61">
        <v>1500</v>
      </c>
      <c r="L713" s="63">
        <f t="shared" si="50"/>
        <v>74964.090000000055</v>
      </c>
    </row>
    <row r="714" spans="2:12" x14ac:dyDescent="0.2">
      <c r="B714" s="10"/>
      <c r="C714" s="77"/>
      <c r="D714" s="77"/>
      <c r="E714" s="3"/>
      <c r="F714" s="16"/>
      <c r="G714" s="597" t="s">
        <v>799</v>
      </c>
      <c r="H714" s="598"/>
      <c r="I714" s="599"/>
      <c r="J714" s="349"/>
      <c r="K714" s="12">
        <v>600</v>
      </c>
      <c r="L714" s="63">
        <f t="shared" si="50"/>
        <v>74364.090000000055</v>
      </c>
    </row>
    <row r="715" spans="2:12" ht="40.5" customHeight="1" x14ac:dyDescent="0.2">
      <c r="B715" s="10" t="s">
        <v>33</v>
      </c>
      <c r="C715" s="77"/>
      <c r="D715" s="77"/>
      <c r="E715" s="3"/>
      <c r="F715" s="16"/>
      <c r="G715" s="571" t="s">
        <v>839</v>
      </c>
      <c r="H715" s="572"/>
      <c r="I715" s="573"/>
      <c r="J715" s="349"/>
      <c r="K715" s="70">
        <v>800</v>
      </c>
      <c r="L715" s="63">
        <f t="shared" si="50"/>
        <v>73564.090000000055</v>
      </c>
    </row>
    <row r="716" spans="2:12" ht="42.75" customHeight="1" x14ac:dyDescent="0.2">
      <c r="B716" s="10"/>
      <c r="C716" s="77"/>
      <c r="D716" s="77"/>
      <c r="E716" s="3"/>
      <c r="F716" s="16"/>
      <c r="G716" s="571" t="s">
        <v>840</v>
      </c>
      <c r="H716" s="572"/>
      <c r="I716" s="573"/>
      <c r="J716" s="349"/>
      <c r="K716" s="70">
        <v>800</v>
      </c>
      <c r="L716" s="63">
        <f t="shared" si="50"/>
        <v>72764.090000000055</v>
      </c>
    </row>
    <row r="717" spans="2:12" ht="42" customHeight="1" x14ac:dyDescent="0.2">
      <c r="B717" s="10"/>
      <c r="C717" s="77"/>
      <c r="D717" s="77"/>
      <c r="E717" s="3"/>
      <c r="F717" s="16"/>
      <c r="G717" s="571" t="s">
        <v>841</v>
      </c>
      <c r="H717" s="572"/>
      <c r="I717" s="573"/>
      <c r="J717" s="349"/>
      <c r="K717" s="70">
        <v>800</v>
      </c>
      <c r="L717" s="63">
        <f t="shared" si="50"/>
        <v>71964.090000000055</v>
      </c>
    </row>
    <row r="718" spans="2:12" ht="54.75" customHeight="1" x14ac:dyDescent="0.2">
      <c r="B718" s="10"/>
      <c r="C718" s="77"/>
      <c r="D718" s="77"/>
      <c r="E718" s="3"/>
      <c r="F718" s="16"/>
      <c r="G718" s="571"/>
      <c r="H718" s="572"/>
      <c r="I718" s="573"/>
      <c r="J718" s="349"/>
      <c r="K718" s="70"/>
      <c r="L718" s="63">
        <f t="shared" si="50"/>
        <v>71964.090000000055</v>
      </c>
    </row>
    <row r="719" spans="2:12" x14ac:dyDescent="0.2">
      <c r="B719" s="10"/>
      <c r="C719" s="77"/>
      <c r="D719" s="77"/>
      <c r="E719" s="3"/>
      <c r="F719" s="16"/>
      <c r="G719" s="375"/>
      <c r="H719" s="376"/>
      <c r="I719" s="385"/>
      <c r="J719" s="349"/>
      <c r="K719" s="70"/>
      <c r="L719" s="63">
        <f t="shared" si="50"/>
        <v>71964.090000000055</v>
      </c>
    </row>
    <row r="720" spans="2:12" ht="12.75" thickBot="1" x14ac:dyDescent="0.25">
      <c r="B720" s="64"/>
      <c r="C720" s="65"/>
      <c r="D720" s="65"/>
      <c r="E720" s="13"/>
      <c r="F720" s="13"/>
      <c r="G720" s="104"/>
      <c r="H720" s="84"/>
      <c r="I720" s="12"/>
      <c r="J720" s="12"/>
      <c r="K720" s="12"/>
      <c r="L720" s="63"/>
    </row>
    <row r="721" spans="2:12" x14ac:dyDescent="0.2">
      <c r="B721" s="56"/>
      <c r="C721" s="57"/>
      <c r="D721" s="57"/>
      <c r="E721" s="5"/>
      <c r="F721" s="5"/>
      <c r="G721" s="85" t="s">
        <v>33</v>
      </c>
      <c r="H721" s="107">
        <f>SUM(H664:H696)</f>
        <v>5518</v>
      </c>
      <c r="I721" s="105">
        <f>SUM(I664:I698)</f>
        <v>1765.76</v>
      </c>
      <c r="J721" s="106">
        <f>SUM(J664:J698)</f>
        <v>3752.2400000000011</v>
      </c>
      <c r="K721" s="106">
        <f>SUM(K705:K718)</f>
        <v>13900</v>
      </c>
      <c r="L721" s="108"/>
    </row>
    <row r="722" spans="2:12" ht="12.75" thickBot="1" x14ac:dyDescent="0.25">
      <c r="B722" s="71"/>
      <c r="C722" s="72"/>
      <c r="D722" s="72"/>
      <c r="E722" s="73"/>
      <c r="F722" s="73"/>
      <c r="G722" s="86" t="s">
        <v>13</v>
      </c>
      <c r="H722" s="100"/>
      <c r="I722" s="99"/>
      <c r="J722" s="87"/>
      <c r="K722" s="87"/>
      <c r="L722" s="88">
        <f>+J721-K721+L663</f>
        <v>71964.09000000004</v>
      </c>
    </row>
    <row r="723" spans="2:12" x14ac:dyDescent="0.2">
      <c r="B723" s="25"/>
      <c r="H723" s="74"/>
      <c r="I723" s="25"/>
      <c r="L723" s="25"/>
    </row>
    <row r="724" spans="2:12" ht="12" customHeight="1" x14ac:dyDescent="0.2">
      <c r="B724" s="544" t="s">
        <v>48</v>
      </c>
      <c r="C724" s="545"/>
      <c r="D724" s="545"/>
      <c r="E724" s="545"/>
      <c r="F724" s="545"/>
      <c r="G724" s="545"/>
      <c r="H724" s="545"/>
      <c r="I724" s="545"/>
      <c r="J724" s="545"/>
      <c r="K724" s="545"/>
      <c r="L724" s="546"/>
    </row>
    <row r="725" spans="2:12" x14ac:dyDescent="0.2">
      <c r="B725" s="547" t="s">
        <v>703</v>
      </c>
      <c r="C725" s="548"/>
      <c r="D725" s="548"/>
      <c r="E725" s="548"/>
      <c r="F725" s="548"/>
      <c r="G725" s="548"/>
      <c r="H725" s="548"/>
      <c r="I725" s="548"/>
      <c r="J725" s="548"/>
      <c r="K725" s="548"/>
      <c r="L725" s="549"/>
    </row>
    <row r="726" spans="2:12" x14ac:dyDescent="0.2">
      <c r="B726" s="550" t="s">
        <v>50</v>
      </c>
      <c r="C726" s="550"/>
      <c r="D726" s="551" t="s">
        <v>51</v>
      </c>
      <c r="E726" s="551"/>
      <c r="F726" s="551"/>
      <c r="G726" s="386"/>
      <c r="H726" s="386"/>
      <c r="I726" s="386"/>
      <c r="J726" s="386"/>
      <c r="K726" s="386"/>
      <c r="L726" s="387"/>
    </row>
    <row r="727" spans="2:12" ht="24" x14ac:dyDescent="0.2">
      <c r="B727" s="56" t="s">
        <v>1</v>
      </c>
      <c r="C727" s="57" t="s">
        <v>2</v>
      </c>
      <c r="D727" s="57" t="s">
        <v>2</v>
      </c>
      <c r="E727" s="5" t="s">
        <v>3</v>
      </c>
      <c r="F727" s="5" t="s">
        <v>4</v>
      </c>
      <c r="G727" s="89" t="s">
        <v>6</v>
      </c>
      <c r="H727" s="83" t="s">
        <v>7</v>
      </c>
      <c r="I727" s="83" t="s">
        <v>52</v>
      </c>
      <c r="J727" s="83" t="s">
        <v>53</v>
      </c>
      <c r="K727" s="5" t="s">
        <v>10</v>
      </c>
      <c r="L727" s="5" t="s">
        <v>11</v>
      </c>
    </row>
    <row r="728" spans="2:12" x14ac:dyDescent="0.2">
      <c r="B728" s="58"/>
      <c r="C728" s="59"/>
      <c r="D728" s="59"/>
      <c r="E728" s="13"/>
      <c r="F728" s="13"/>
      <c r="G728" s="24"/>
      <c r="H728" s="60"/>
      <c r="I728" s="61"/>
      <c r="J728" s="61"/>
      <c r="K728" s="61"/>
      <c r="L728" s="60">
        <f>L722</f>
        <v>71964.09000000004</v>
      </c>
    </row>
    <row r="729" spans="2:12" x14ac:dyDescent="0.2">
      <c r="B729" s="110">
        <v>44137</v>
      </c>
      <c r="C729" s="353" t="s">
        <v>847</v>
      </c>
      <c r="D729" s="11"/>
      <c r="E729" s="15"/>
      <c r="F729" s="15"/>
      <c r="G729" s="15"/>
      <c r="H729" s="112">
        <v>290</v>
      </c>
      <c r="I729" s="12">
        <f>H729*0.32</f>
        <v>92.8</v>
      </c>
      <c r="J729" s="12">
        <f>H729*0.68</f>
        <v>197.20000000000002</v>
      </c>
      <c r="K729" s="12"/>
      <c r="L729" s="63">
        <f>+J729-K729+L728</f>
        <v>72161.290000000037</v>
      </c>
    </row>
    <row r="730" spans="2:12" x14ac:dyDescent="0.2">
      <c r="B730" s="110">
        <v>44138</v>
      </c>
      <c r="C730" s="353" t="s">
        <v>847</v>
      </c>
      <c r="D730" s="11"/>
      <c r="E730" s="15"/>
      <c r="F730" s="15"/>
      <c r="G730" s="15"/>
      <c r="H730" s="112">
        <v>364</v>
      </c>
      <c r="I730" s="12">
        <f t="shared" ref="I730:I760" si="51">H730*0.32</f>
        <v>116.48</v>
      </c>
      <c r="J730" s="12">
        <f t="shared" ref="J730:J760" si="52">H730*0.68</f>
        <v>247.52</v>
      </c>
      <c r="K730" s="12"/>
      <c r="L730" s="63">
        <f t="shared" ref="L730:L775" si="53">+J730-K730+L729</f>
        <v>72408.810000000041</v>
      </c>
    </row>
    <row r="731" spans="2:12" x14ac:dyDescent="0.2">
      <c r="B731" s="110">
        <v>44139</v>
      </c>
      <c r="C731" s="353" t="s">
        <v>847</v>
      </c>
      <c r="D731" s="11"/>
      <c r="E731" s="15"/>
      <c r="F731" s="15"/>
      <c r="G731" s="15"/>
      <c r="H731" s="112">
        <v>1168</v>
      </c>
      <c r="I731" s="12">
        <f t="shared" si="51"/>
        <v>373.76</v>
      </c>
      <c r="J731" s="12">
        <f t="shared" si="52"/>
        <v>794.24</v>
      </c>
      <c r="K731" s="12"/>
      <c r="L731" s="63">
        <f t="shared" si="53"/>
        <v>73203.050000000047</v>
      </c>
    </row>
    <row r="732" spans="2:12" x14ac:dyDescent="0.2">
      <c r="B732" s="110">
        <v>44140</v>
      </c>
      <c r="C732" s="353" t="s">
        <v>847</v>
      </c>
      <c r="D732" s="11"/>
      <c r="E732" s="15"/>
      <c r="F732" s="15"/>
      <c r="G732" s="15"/>
      <c r="H732" s="112">
        <v>1300</v>
      </c>
      <c r="I732" s="12">
        <f t="shared" si="51"/>
        <v>416</v>
      </c>
      <c r="J732" s="12">
        <f t="shared" si="52"/>
        <v>884.00000000000011</v>
      </c>
      <c r="K732" s="12"/>
      <c r="L732" s="63">
        <f t="shared" si="53"/>
        <v>74087.050000000047</v>
      </c>
    </row>
    <row r="733" spans="2:12" x14ac:dyDescent="0.2">
      <c r="B733" s="110">
        <v>44141</v>
      </c>
      <c r="C733" s="353" t="s">
        <v>847</v>
      </c>
      <c r="D733" s="11"/>
      <c r="E733" s="15"/>
      <c r="F733" s="15"/>
      <c r="G733" s="15"/>
      <c r="H733" s="112">
        <v>780</v>
      </c>
      <c r="I733" s="12">
        <f t="shared" si="51"/>
        <v>249.6</v>
      </c>
      <c r="J733" s="12">
        <f t="shared" si="52"/>
        <v>530.40000000000009</v>
      </c>
      <c r="K733" s="12"/>
      <c r="L733" s="63">
        <f t="shared" si="53"/>
        <v>74617.450000000041</v>
      </c>
    </row>
    <row r="734" spans="2:12" x14ac:dyDescent="0.2">
      <c r="B734" s="110">
        <v>44142</v>
      </c>
      <c r="C734" s="353" t="s">
        <v>847</v>
      </c>
      <c r="D734" s="11"/>
      <c r="E734" s="15"/>
      <c r="F734" s="15"/>
      <c r="G734" s="15"/>
      <c r="H734" s="112">
        <v>648</v>
      </c>
      <c r="I734" s="12">
        <f t="shared" si="51"/>
        <v>207.36</v>
      </c>
      <c r="J734" s="12">
        <f t="shared" si="52"/>
        <v>440.64000000000004</v>
      </c>
      <c r="K734" s="12"/>
      <c r="L734" s="63">
        <f t="shared" si="53"/>
        <v>75058.09000000004</v>
      </c>
    </row>
    <row r="735" spans="2:12" x14ac:dyDescent="0.2">
      <c r="B735" s="110">
        <v>44144</v>
      </c>
      <c r="C735" s="353" t="s">
        <v>847</v>
      </c>
      <c r="D735" s="11"/>
      <c r="E735" s="15"/>
      <c r="F735" s="15"/>
      <c r="G735" s="15"/>
      <c r="H735" s="112">
        <v>340</v>
      </c>
      <c r="I735" s="12">
        <f t="shared" si="51"/>
        <v>108.8</v>
      </c>
      <c r="J735" s="12">
        <f t="shared" si="52"/>
        <v>231.20000000000002</v>
      </c>
      <c r="K735" s="12"/>
      <c r="L735" s="63">
        <f t="shared" si="53"/>
        <v>75289.290000000037</v>
      </c>
    </row>
    <row r="736" spans="2:12" x14ac:dyDescent="0.2">
      <c r="B736" s="110">
        <v>44145</v>
      </c>
      <c r="C736" s="353" t="s">
        <v>847</v>
      </c>
      <c r="D736" s="77"/>
      <c r="E736" s="15"/>
      <c r="F736" s="15"/>
      <c r="G736" s="15"/>
      <c r="H736" s="112">
        <v>40</v>
      </c>
      <c r="I736" s="12">
        <f t="shared" si="51"/>
        <v>12.8</v>
      </c>
      <c r="J736" s="12">
        <f t="shared" si="52"/>
        <v>27.200000000000003</v>
      </c>
      <c r="K736" s="12"/>
      <c r="L736" s="63">
        <f t="shared" si="53"/>
        <v>75316.490000000034</v>
      </c>
    </row>
    <row r="737" spans="2:12" x14ac:dyDescent="0.2">
      <c r="B737" s="110">
        <v>44146</v>
      </c>
      <c r="C737" s="353" t="s">
        <v>847</v>
      </c>
      <c r="D737" s="11"/>
      <c r="E737" s="15"/>
      <c r="F737" s="15"/>
      <c r="G737" s="15"/>
      <c r="H737" s="112">
        <v>440</v>
      </c>
      <c r="I737" s="12">
        <f t="shared" si="51"/>
        <v>140.80000000000001</v>
      </c>
      <c r="J737" s="12">
        <f t="shared" si="52"/>
        <v>299.20000000000005</v>
      </c>
      <c r="K737" s="12"/>
      <c r="L737" s="63">
        <f t="shared" si="53"/>
        <v>75615.690000000031</v>
      </c>
    </row>
    <row r="738" spans="2:12" x14ac:dyDescent="0.2">
      <c r="B738" s="110">
        <v>44147</v>
      </c>
      <c r="C738" s="353" t="s">
        <v>847</v>
      </c>
      <c r="D738" s="11"/>
      <c r="E738" s="15"/>
      <c r="F738" s="15"/>
      <c r="G738" s="15"/>
      <c r="H738" s="112">
        <v>660</v>
      </c>
      <c r="I738" s="12">
        <f t="shared" si="51"/>
        <v>211.20000000000002</v>
      </c>
      <c r="J738" s="12">
        <f t="shared" si="52"/>
        <v>448.8</v>
      </c>
      <c r="K738" s="12"/>
      <c r="L738" s="63">
        <f t="shared" si="53"/>
        <v>76064.490000000034</v>
      </c>
    </row>
    <row r="739" spans="2:12" x14ac:dyDescent="0.2">
      <c r="B739" s="110">
        <v>44148</v>
      </c>
      <c r="C739" s="353" t="s">
        <v>847</v>
      </c>
      <c r="D739" s="11"/>
      <c r="E739" s="15"/>
      <c r="F739" s="15"/>
      <c r="G739" s="15"/>
      <c r="H739" s="112">
        <v>320</v>
      </c>
      <c r="I739" s="12">
        <f t="shared" si="51"/>
        <v>102.4</v>
      </c>
      <c r="J739" s="12">
        <f t="shared" si="52"/>
        <v>217.60000000000002</v>
      </c>
      <c r="K739" s="12"/>
      <c r="L739" s="63">
        <f t="shared" si="53"/>
        <v>76282.09000000004</v>
      </c>
    </row>
    <row r="740" spans="2:12" x14ac:dyDescent="0.2">
      <c r="B740" s="110">
        <v>44149</v>
      </c>
      <c r="C740" s="353" t="s">
        <v>847</v>
      </c>
      <c r="D740" s="65"/>
      <c r="E740" s="13"/>
      <c r="F740" s="15"/>
      <c r="G740" s="15"/>
      <c r="H740" s="112">
        <v>220</v>
      </c>
      <c r="I740" s="12">
        <f t="shared" si="51"/>
        <v>70.400000000000006</v>
      </c>
      <c r="J740" s="12">
        <f t="shared" si="52"/>
        <v>149.60000000000002</v>
      </c>
      <c r="K740" s="12"/>
      <c r="L740" s="63">
        <f t="shared" si="53"/>
        <v>76431.690000000046</v>
      </c>
    </row>
    <row r="741" spans="2:12" x14ac:dyDescent="0.2">
      <c r="B741" s="110">
        <v>44153</v>
      </c>
      <c r="C741" s="353" t="s">
        <v>847</v>
      </c>
      <c r="D741" s="65"/>
      <c r="E741" s="13"/>
      <c r="F741" s="15"/>
      <c r="G741" s="15"/>
      <c r="H741" s="112">
        <v>200</v>
      </c>
      <c r="I741" s="12">
        <f t="shared" si="51"/>
        <v>64</v>
      </c>
      <c r="J741" s="12">
        <f t="shared" si="52"/>
        <v>136</v>
      </c>
      <c r="K741" s="12"/>
      <c r="L741" s="63">
        <f t="shared" si="53"/>
        <v>76567.690000000046</v>
      </c>
    </row>
    <row r="742" spans="2:12" x14ac:dyDescent="0.2">
      <c r="B742" s="110">
        <v>44154</v>
      </c>
      <c r="C742" s="353" t="s">
        <v>847</v>
      </c>
      <c r="D742" s="65"/>
      <c r="E742" s="13"/>
      <c r="F742" s="15"/>
      <c r="G742" s="15"/>
      <c r="H742" s="112">
        <v>780</v>
      </c>
      <c r="I742" s="12">
        <f t="shared" si="51"/>
        <v>249.6</v>
      </c>
      <c r="J742" s="12">
        <f t="shared" si="52"/>
        <v>530.40000000000009</v>
      </c>
      <c r="K742" s="12"/>
      <c r="L742" s="63">
        <f t="shared" si="53"/>
        <v>77098.09000000004</v>
      </c>
    </row>
    <row r="743" spans="2:12" x14ac:dyDescent="0.2">
      <c r="B743" s="110">
        <v>44158</v>
      </c>
      <c r="C743" s="353" t="s">
        <v>847</v>
      </c>
      <c r="D743" s="65"/>
      <c r="E743" s="13"/>
      <c r="F743" s="15"/>
      <c r="G743" s="15"/>
      <c r="H743" s="112">
        <v>360</v>
      </c>
      <c r="I743" s="12">
        <f t="shared" si="51"/>
        <v>115.2</v>
      </c>
      <c r="J743" s="12">
        <f t="shared" si="52"/>
        <v>244.8</v>
      </c>
      <c r="K743" s="12"/>
      <c r="L743" s="63">
        <f t="shared" si="53"/>
        <v>77342.890000000043</v>
      </c>
    </row>
    <row r="744" spans="2:12" x14ac:dyDescent="0.2">
      <c r="B744" s="110">
        <v>44159</v>
      </c>
      <c r="C744" s="353" t="s">
        <v>847</v>
      </c>
      <c r="D744" s="65"/>
      <c r="E744" s="13"/>
      <c r="F744" s="15"/>
      <c r="G744" s="15"/>
      <c r="H744" s="112">
        <v>360</v>
      </c>
      <c r="I744" s="12">
        <f t="shared" si="51"/>
        <v>115.2</v>
      </c>
      <c r="J744" s="12">
        <f t="shared" si="52"/>
        <v>244.8</v>
      </c>
      <c r="K744" s="12"/>
      <c r="L744" s="63">
        <f t="shared" si="53"/>
        <v>77587.690000000046</v>
      </c>
    </row>
    <row r="745" spans="2:12" x14ac:dyDescent="0.2">
      <c r="B745" s="110">
        <v>44160</v>
      </c>
      <c r="C745" s="353" t="s">
        <v>847</v>
      </c>
      <c r="D745" s="65"/>
      <c r="E745" s="13"/>
      <c r="F745" s="15"/>
      <c r="G745" s="15"/>
      <c r="H745" s="112">
        <v>510</v>
      </c>
      <c r="I745" s="12">
        <f t="shared" si="51"/>
        <v>163.20000000000002</v>
      </c>
      <c r="J745" s="12">
        <f t="shared" si="52"/>
        <v>346.8</v>
      </c>
      <c r="K745" s="12"/>
      <c r="L745" s="63">
        <f t="shared" si="53"/>
        <v>77934.490000000049</v>
      </c>
    </row>
    <row r="746" spans="2:12" x14ac:dyDescent="0.2">
      <c r="B746" s="110">
        <v>44161</v>
      </c>
      <c r="C746" s="353" t="s">
        <v>847</v>
      </c>
      <c r="D746" s="65"/>
      <c r="E746" s="13"/>
      <c r="F746" s="15"/>
      <c r="G746" s="15"/>
      <c r="H746" s="112">
        <v>144</v>
      </c>
      <c r="I746" s="12">
        <f t="shared" si="51"/>
        <v>46.08</v>
      </c>
      <c r="J746" s="12">
        <f t="shared" si="52"/>
        <v>97.92</v>
      </c>
      <c r="K746" s="12"/>
      <c r="L746" s="63">
        <f t="shared" si="53"/>
        <v>78032.410000000047</v>
      </c>
    </row>
    <row r="747" spans="2:12" x14ac:dyDescent="0.2">
      <c r="B747" s="110">
        <v>44162</v>
      </c>
      <c r="C747" s="353" t="s">
        <v>847</v>
      </c>
      <c r="D747" s="65"/>
      <c r="E747" s="13"/>
      <c r="F747" s="15"/>
      <c r="G747" s="15"/>
      <c r="H747" s="112">
        <v>220</v>
      </c>
      <c r="I747" s="12">
        <f t="shared" si="51"/>
        <v>70.400000000000006</v>
      </c>
      <c r="J747" s="12">
        <f t="shared" si="52"/>
        <v>149.60000000000002</v>
      </c>
      <c r="K747" s="12"/>
      <c r="L747" s="63">
        <f t="shared" si="53"/>
        <v>78182.010000000053</v>
      </c>
    </row>
    <row r="748" spans="2:12" x14ac:dyDescent="0.2">
      <c r="B748" s="110">
        <v>44165</v>
      </c>
      <c r="C748" s="353" t="s">
        <v>847</v>
      </c>
      <c r="D748" s="65"/>
      <c r="E748" s="13"/>
      <c r="F748" s="15"/>
      <c r="G748" s="15"/>
      <c r="H748" s="112">
        <v>220</v>
      </c>
      <c r="I748" s="12">
        <f t="shared" si="51"/>
        <v>70.400000000000006</v>
      </c>
      <c r="J748" s="12">
        <f t="shared" si="52"/>
        <v>149.60000000000002</v>
      </c>
      <c r="K748" s="12"/>
      <c r="L748" s="63">
        <f t="shared" si="53"/>
        <v>78331.610000000059</v>
      </c>
    </row>
    <row r="749" spans="2:12" x14ac:dyDescent="0.2">
      <c r="B749" s="110"/>
      <c r="C749" s="353"/>
      <c r="D749" s="65"/>
      <c r="E749" s="13"/>
      <c r="F749" s="15"/>
      <c r="G749" s="15"/>
      <c r="H749" s="112"/>
      <c r="I749" s="12">
        <f t="shared" si="51"/>
        <v>0</v>
      </c>
      <c r="J749" s="12">
        <f t="shared" si="52"/>
        <v>0</v>
      </c>
      <c r="K749" s="12"/>
      <c r="L749" s="63">
        <f t="shared" si="53"/>
        <v>78331.610000000059</v>
      </c>
    </row>
    <row r="750" spans="2:12" x14ac:dyDescent="0.2">
      <c r="B750" s="110"/>
      <c r="C750" s="353"/>
      <c r="D750" s="65"/>
      <c r="E750" s="13"/>
      <c r="F750" s="15"/>
      <c r="G750" s="15"/>
      <c r="H750" s="112"/>
      <c r="I750" s="12">
        <f t="shared" si="51"/>
        <v>0</v>
      </c>
      <c r="J750" s="12">
        <f t="shared" si="52"/>
        <v>0</v>
      </c>
      <c r="K750" s="12"/>
      <c r="L750" s="63">
        <f t="shared" si="53"/>
        <v>78331.610000000059</v>
      </c>
    </row>
    <row r="751" spans="2:12" x14ac:dyDescent="0.2">
      <c r="B751" s="110">
        <v>44509</v>
      </c>
      <c r="C751" s="353" t="s">
        <v>857</v>
      </c>
      <c r="D751" s="65" t="s">
        <v>0</v>
      </c>
      <c r="E751" s="13"/>
      <c r="F751" s="15"/>
      <c r="G751" s="15"/>
      <c r="H751" s="112">
        <v>220</v>
      </c>
      <c r="I751" s="12">
        <f t="shared" si="51"/>
        <v>70.400000000000006</v>
      </c>
      <c r="J751" s="12">
        <f t="shared" si="52"/>
        <v>149.60000000000002</v>
      </c>
      <c r="K751" s="12"/>
      <c r="L751" s="63">
        <f t="shared" si="53"/>
        <v>78481.210000000065</v>
      </c>
    </row>
    <row r="752" spans="2:12" x14ac:dyDescent="0.2">
      <c r="B752" s="110"/>
      <c r="C752" s="353"/>
      <c r="D752" s="65"/>
      <c r="E752" s="13"/>
      <c r="F752" s="15"/>
      <c r="G752" s="15"/>
      <c r="H752" s="112"/>
      <c r="I752" s="12">
        <f t="shared" si="51"/>
        <v>0</v>
      </c>
      <c r="J752" s="12">
        <f t="shared" si="52"/>
        <v>0</v>
      </c>
      <c r="K752" s="12"/>
      <c r="L752" s="63">
        <f t="shared" si="53"/>
        <v>78481.210000000065</v>
      </c>
    </row>
    <row r="753" spans="2:12" x14ac:dyDescent="0.2">
      <c r="B753" s="110"/>
      <c r="C753" s="353"/>
      <c r="D753" s="65"/>
      <c r="E753" s="13"/>
      <c r="F753" s="15"/>
      <c r="G753" s="15"/>
      <c r="H753" s="112"/>
      <c r="I753" s="12">
        <f t="shared" si="51"/>
        <v>0</v>
      </c>
      <c r="J753" s="12">
        <f t="shared" si="52"/>
        <v>0</v>
      </c>
      <c r="K753" s="12"/>
      <c r="L753" s="63">
        <f t="shared" si="53"/>
        <v>78481.210000000065</v>
      </c>
    </row>
    <row r="754" spans="2:12" x14ac:dyDescent="0.2">
      <c r="B754" s="110">
        <v>44523</v>
      </c>
      <c r="C754" s="353" t="s">
        <v>857</v>
      </c>
      <c r="D754" s="65" t="s">
        <v>26</v>
      </c>
      <c r="E754" s="13"/>
      <c r="F754" s="15"/>
      <c r="G754" s="15"/>
      <c r="H754" s="112">
        <v>220</v>
      </c>
      <c r="I754" s="12">
        <f t="shared" si="51"/>
        <v>70.400000000000006</v>
      </c>
      <c r="J754" s="12">
        <f t="shared" si="52"/>
        <v>149.60000000000002</v>
      </c>
      <c r="K754" s="12"/>
      <c r="L754" s="63">
        <f t="shared" si="53"/>
        <v>78630.81000000007</v>
      </c>
    </row>
    <row r="755" spans="2:12" x14ac:dyDescent="0.2">
      <c r="B755" s="110"/>
      <c r="C755" s="353"/>
      <c r="D755" s="65"/>
      <c r="E755" s="13"/>
      <c r="F755" s="15"/>
      <c r="G755" s="15"/>
      <c r="H755" s="112"/>
      <c r="I755" s="12">
        <f t="shared" si="51"/>
        <v>0</v>
      </c>
      <c r="J755" s="12">
        <f t="shared" si="52"/>
        <v>0</v>
      </c>
      <c r="K755" s="12"/>
      <c r="L755" s="63">
        <f t="shared" si="53"/>
        <v>78630.81000000007</v>
      </c>
    </row>
    <row r="756" spans="2:12" x14ac:dyDescent="0.2">
      <c r="B756" s="110"/>
      <c r="C756" s="353"/>
      <c r="D756" s="65"/>
      <c r="E756" s="13"/>
      <c r="F756" s="15"/>
      <c r="G756" s="15"/>
      <c r="H756" s="112"/>
      <c r="I756" s="12">
        <f t="shared" si="51"/>
        <v>0</v>
      </c>
      <c r="J756" s="12">
        <f t="shared" si="52"/>
        <v>0</v>
      </c>
      <c r="K756" s="12"/>
      <c r="L756" s="63">
        <f t="shared" si="53"/>
        <v>78630.81000000007</v>
      </c>
    </row>
    <row r="757" spans="2:12" x14ac:dyDescent="0.2">
      <c r="B757" s="110"/>
      <c r="C757" s="353"/>
      <c r="D757" s="65"/>
      <c r="E757" s="13"/>
      <c r="F757" s="15"/>
      <c r="G757" s="15"/>
      <c r="H757" s="112"/>
      <c r="I757" s="12">
        <f t="shared" si="51"/>
        <v>0</v>
      </c>
      <c r="J757" s="12">
        <f t="shared" si="52"/>
        <v>0</v>
      </c>
      <c r="K757" s="12"/>
      <c r="L757" s="63">
        <f t="shared" si="53"/>
        <v>78630.81000000007</v>
      </c>
    </row>
    <row r="758" spans="2:12" x14ac:dyDescent="0.2">
      <c r="B758" s="110"/>
      <c r="C758" s="353"/>
      <c r="D758" s="65"/>
      <c r="E758" s="13"/>
      <c r="F758" s="15"/>
      <c r="G758" s="15"/>
      <c r="H758" s="112"/>
      <c r="I758" s="12">
        <f t="shared" si="51"/>
        <v>0</v>
      </c>
      <c r="J758" s="12">
        <f t="shared" si="52"/>
        <v>0</v>
      </c>
      <c r="K758" s="12"/>
      <c r="L758" s="63">
        <f t="shared" si="53"/>
        <v>78630.81000000007</v>
      </c>
    </row>
    <row r="759" spans="2:12" x14ac:dyDescent="0.2">
      <c r="B759" s="110"/>
      <c r="C759" s="353"/>
      <c r="D759" s="65"/>
      <c r="E759" s="13"/>
      <c r="F759" s="15"/>
      <c r="G759" s="15"/>
      <c r="H759" s="112"/>
      <c r="I759" s="12">
        <f t="shared" si="51"/>
        <v>0</v>
      </c>
      <c r="J759" s="12">
        <f t="shared" si="52"/>
        <v>0</v>
      </c>
      <c r="K759" s="12"/>
      <c r="L759" s="63">
        <f t="shared" si="53"/>
        <v>78630.81000000007</v>
      </c>
    </row>
    <row r="760" spans="2:12" x14ac:dyDescent="0.2">
      <c r="B760" s="110"/>
      <c r="C760" s="353"/>
      <c r="D760" s="65"/>
      <c r="E760" s="13"/>
      <c r="F760" s="15"/>
      <c r="G760" s="15"/>
      <c r="H760" s="112"/>
      <c r="I760" s="12">
        <f t="shared" si="51"/>
        <v>0</v>
      </c>
      <c r="J760" s="12">
        <f t="shared" si="52"/>
        <v>0</v>
      </c>
      <c r="K760" s="12"/>
      <c r="L760" s="63">
        <f t="shared" si="53"/>
        <v>78630.81000000007</v>
      </c>
    </row>
    <row r="761" spans="2:12" x14ac:dyDescent="0.2">
      <c r="B761" s="110"/>
      <c r="C761" s="65"/>
      <c r="D761" s="65"/>
      <c r="E761" s="13"/>
      <c r="F761" s="15"/>
      <c r="G761" s="66"/>
      <c r="H761" s="112"/>
      <c r="I761" s="12"/>
      <c r="J761" s="12"/>
      <c r="K761" s="12"/>
      <c r="L761" s="63">
        <f t="shared" si="53"/>
        <v>78630.81000000007</v>
      </c>
    </row>
    <row r="762" spans="2:12" x14ac:dyDescent="0.2">
      <c r="B762" s="547" t="s">
        <v>848</v>
      </c>
      <c r="C762" s="548"/>
      <c r="D762" s="548"/>
      <c r="E762" s="548"/>
      <c r="F762" s="548"/>
      <c r="G762" s="548"/>
      <c r="H762" s="548"/>
      <c r="I762" s="548"/>
      <c r="J762" s="548"/>
      <c r="K762" s="549"/>
      <c r="L762" s="63">
        <f t="shared" si="53"/>
        <v>78630.81000000007</v>
      </c>
    </row>
    <row r="763" spans="2:12" x14ac:dyDescent="0.2">
      <c r="B763" s="552" t="s">
        <v>56</v>
      </c>
      <c r="C763" s="553"/>
      <c r="D763" s="554" t="s">
        <v>51</v>
      </c>
      <c r="E763" s="554"/>
      <c r="F763" s="554"/>
      <c r="G763" s="94"/>
      <c r="H763" s="95"/>
      <c r="I763" s="96"/>
      <c r="J763" s="96"/>
      <c r="K763" s="97"/>
      <c r="L763" s="63">
        <f t="shared" si="53"/>
        <v>78630.81000000007</v>
      </c>
    </row>
    <row r="764" spans="2:12" x14ac:dyDescent="0.2">
      <c r="B764" s="91" t="s">
        <v>1</v>
      </c>
      <c r="C764" s="92" t="s">
        <v>57</v>
      </c>
      <c r="D764" s="92" t="s">
        <v>2</v>
      </c>
      <c r="E764" s="388" t="s">
        <v>3</v>
      </c>
      <c r="F764" s="388" t="s">
        <v>4</v>
      </c>
      <c r="G764" s="561" t="s">
        <v>58</v>
      </c>
      <c r="H764" s="562"/>
      <c r="I764" s="562"/>
      <c r="J764" s="563"/>
      <c r="K764" s="90"/>
      <c r="L764" s="63">
        <f t="shared" si="53"/>
        <v>78630.81000000007</v>
      </c>
    </row>
    <row r="765" spans="2:12" ht="45" customHeight="1" x14ac:dyDescent="0.2">
      <c r="B765" s="10" t="s">
        <v>33</v>
      </c>
      <c r="C765" s="77"/>
      <c r="D765" s="77"/>
      <c r="E765" s="3"/>
      <c r="F765" s="16"/>
      <c r="G765" s="588" t="s">
        <v>842</v>
      </c>
      <c r="H765" s="589"/>
      <c r="I765" s="590"/>
      <c r="J765" s="349"/>
      <c r="K765" s="70">
        <v>800</v>
      </c>
      <c r="L765" s="63">
        <f t="shared" si="53"/>
        <v>77830.81000000007</v>
      </c>
    </row>
    <row r="766" spans="2:12" x14ac:dyDescent="0.2">
      <c r="B766" s="10"/>
      <c r="C766" s="77"/>
      <c r="D766" s="77"/>
      <c r="E766" s="3"/>
      <c r="F766" s="16"/>
      <c r="G766" s="597" t="s">
        <v>843</v>
      </c>
      <c r="H766" s="598"/>
      <c r="I766" s="599"/>
      <c r="J766" s="349"/>
      <c r="K766" s="441">
        <v>1700</v>
      </c>
      <c r="L766" s="63">
        <f t="shared" si="53"/>
        <v>76130.81000000007</v>
      </c>
    </row>
    <row r="767" spans="2:12" x14ac:dyDescent="0.2">
      <c r="B767" s="10"/>
      <c r="C767" s="77"/>
      <c r="D767" s="77"/>
      <c r="E767" s="3"/>
      <c r="F767" s="16"/>
      <c r="G767" s="597" t="s">
        <v>795</v>
      </c>
      <c r="H767" s="598"/>
      <c r="I767" s="599"/>
      <c r="J767" s="349"/>
      <c r="K767" s="441">
        <v>900</v>
      </c>
      <c r="L767" s="63">
        <f t="shared" si="53"/>
        <v>75230.81000000007</v>
      </c>
    </row>
    <row r="768" spans="2:12" x14ac:dyDescent="0.2">
      <c r="B768" s="10"/>
      <c r="C768" s="77"/>
      <c r="D768" s="77"/>
      <c r="E768" s="3"/>
      <c r="F768" s="16"/>
      <c r="G768" s="597" t="s">
        <v>796</v>
      </c>
      <c r="H768" s="598"/>
      <c r="I768" s="599"/>
      <c r="J768" s="349"/>
      <c r="K768" s="61">
        <v>1500</v>
      </c>
      <c r="L768" s="63">
        <f t="shared" si="53"/>
        <v>73730.81000000007</v>
      </c>
    </row>
    <row r="769" spans="2:12" ht="54.75" customHeight="1" x14ac:dyDescent="0.2">
      <c r="B769" s="10"/>
      <c r="C769" s="77"/>
      <c r="D769" s="77"/>
      <c r="E769" s="3"/>
      <c r="F769" s="16"/>
      <c r="G769" s="597" t="s">
        <v>799</v>
      </c>
      <c r="H769" s="598"/>
      <c r="I769" s="599"/>
      <c r="J769" s="349"/>
      <c r="K769" s="12">
        <v>600</v>
      </c>
      <c r="L769" s="63">
        <f t="shared" si="53"/>
        <v>73130.81000000007</v>
      </c>
    </row>
    <row r="770" spans="2:12" ht="45" customHeight="1" x14ac:dyDescent="0.2">
      <c r="B770" s="10"/>
      <c r="C770" s="77"/>
      <c r="D770" s="77"/>
      <c r="E770" s="3"/>
      <c r="F770" s="16"/>
      <c r="G770" s="585" t="s">
        <v>844</v>
      </c>
      <c r="H770" s="586"/>
      <c r="I770" s="587"/>
      <c r="J770" s="349"/>
      <c r="K770" s="70"/>
      <c r="L770" s="63">
        <f t="shared" si="53"/>
        <v>73130.81000000007</v>
      </c>
    </row>
    <row r="771" spans="2:12" x14ac:dyDescent="0.2">
      <c r="B771" s="10"/>
      <c r="C771" s="77"/>
      <c r="D771" s="77"/>
      <c r="E771" s="3"/>
      <c r="F771" s="16"/>
      <c r="G771" s="600" t="s">
        <v>243</v>
      </c>
      <c r="H771" s="601"/>
      <c r="I771" s="602"/>
      <c r="J771" s="349"/>
      <c r="K771" s="70">
        <v>1600</v>
      </c>
      <c r="L771" s="63">
        <f t="shared" si="53"/>
        <v>71530.81000000007</v>
      </c>
    </row>
    <row r="772" spans="2:12" x14ac:dyDescent="0.2">
      <c r="B772" s="10"/>
      <c r="C772" s="77"/>
      <c r="D772" s="77"/>
      <c r="E772" s="3"/>
      <c r="F772" s="16"/>
      <c r="G772" s="600" t="s">
        <v>822</v>
      </c>
      <c r="H772" s="601"/>
      <c r="I772" s="602"/>
      <c r="J772" s="349"/>
      <c r="K772" s="70">
        <v>1800</v>
      </c>
      <c r="L772" s="63"/>
    </row>
    <row r="773" spans="2:12" x14ac:dyDescent="0.2">
      <c r="B773" s="10"/>
      <c r="C773" s="77"/>
      <c r="D773" s="77"/>
      <c r="E773" s="3"/>
      <c r="F773" s="16"/>
      <c r="G773" s="603" t="s">
        <v>823</v>
      </c>
      <c r="H773" s="604"/>
      <c r="I773" s="605"/>
      <c r="J773" s="349"/>
      <c r="K773" s="70">
        <v>600</v>
      </c>
      <c r="L773" s="63"/>
    </row>
    <row r="774" spans="2:12" x14ac:dyDescent="0.2">
      <c r="B774" s="10"/>
      <c r="C774" s="77"/>
      <c r="D774" s="77"/>
      <c r="E774" s="3"/>
      <c r="F774" s="16"/>
      <c r="G774" s="375"/>
      <c r="H774" s="568"/>
      <c r="I774" s="570"/>
      <c r="J774" s="349"/>
      <c r="K774" s="70"/>
      <c r="L774" s="63">
        <f>+J774-K774+L771</f>
        <v>71530.81000000007</v>
      </c>
    </row>
    <row r="775" spans="2:12" x14ac:dyDescent="0.2">
      <c r="B775" s="10"/>
      <c r="C775" s="77"/>
      <c r="D775" s="77"/>
      <c r="E775" s="3"/>
      <c r="F775" s="16"/>
      <c r="G775" s="375"/>
      <c r="H775" s="376"/>
      <c r="I775" s="389"/>
      <c r="J775" s="349"/>
      <c r="K775" s="70"/>
      <c r="L775" s="63">
        <f t="shared" si="53"/>
        <v>71530.81000000007</v>
      </c>
    </row>
    <row r="776" spans="2:12" ht="12.75" thickBot="1" x14ac:dyDescent="0.25">
      <c r="B776" s="64"/>
      <c r="C776" s="65"/>
      <c r="D776" s="65"/>
      <c r="E776" s="13"/>
      <c r="F776" s="13"/>
      <c r="G776" s="104"/>
      <c r="H776" s="84"/>
      <c r="I776" s="12"/>
      <c r="J776" s="12"/>
      <c r="K776" s="12"/>
      <c r="L776" s="63"/>
    </row>
    <row r="777" spans="2:12" x14ac:dyDescent="0.2">
      <c r="B777" s="56"/>
      <c r="C777" s="57"/>
      <c r="D777" s="57"/>
      <c r="E777" s="5"/>
      <c r="F777" s="5"/>
      <c r="G777" s="85" t="s">
        <v>34</v>
      </c>
      <c r="H777" s="107">
        <f>SUM(H729:H760)</f>
        <v>9804</v>
      </c>
      <c r="I777" s="105">
        <f>SUM(I729:I760)</f>
        <v>3137.2799999999997</v>
      </c>
      <c r="J777" s="106">
        <f>SUM(J729:J760)</f>
        <v>6666.7200000000021</v>
      </c>
      <c r="K777" s="106">
        <f>SUM(K765:K774)</f>
        <v>9500</v>
      </c>
      <c r="L777" s="108"/>
    </row>
    <row r="778" spans="2:12" ht="12.75" thickBot="1" x14ac:dyDescent="0.25">
      <c r="B778" s="71"/>
      <c r="C778" s="72"/>
      <c r="D778" s="72"/>
      <c r="E778" s="73"/>
      <c r="F778" s="73"/>
      <c r="G778" s="86" t="s">
        <v>13</v>
      </c>
      <c r="H778" s="100"/>
      <c r="I778" s="99"/>
      <c r="J778" s="87"/>
      <c r="K778" s="87"/>
      <c r="L778" s="88">
        <f>+J777-K777+L728</f>
        <v>69130.810000000041</v>
      </c>
    </row>
    <row r="779" spans="2:12" x14ac:dyDescent="0.2">
      <c r="B779" s="25"/>
      <c r="H779" s="74"/>
      <c r="I779" s="25"/>
      <c r="L779" s="25"/>
    </row>
    <row r="780" spans="2:12" ht="12" customHeight="1" x14ac:dyDescent="0.2">
      <c r="B780" s="544" t="s">
        <v>48</v>
      </c>
      <c r="C780" s="545"/>
      <c r="D780" s="545"/>
      <c r="E780" s="545"/>
      <c r="F780" s="545"/>
      <c r="G780" s="545"/>
      <c r="H780" s="545"/>
      <c r="I780" s="545"/>
      <c r="J780" s="545"/>
      <c r="K780" s="545"/>
      <c r="L780" s="546"/>
    </row>
    <row r="781" spans="2:12" x14ac:dyDescent="0.2">
      <c r="B781" s="547" t="s">
        <v>863</v>
      </c>
      <c r="C781" s="548"/>
      <c r="D781" s="548"/>
      <c r="E781" s="548"/>
      <c r="F781" s="548"/>
      <c r="G781" s="548"/>
      <c r="H781" s="548"/>
      <c r="I781" s="548"/>
      <c r="J781" s="548"/>
      <c r="K781" s="548"/>
      <c r="L781" s="549"/>
    </row>
    <row r="782" spans="2:12" x14ac:dyDescent="0.2">
      <c r="B782" s="550" t="s">
        <v>50</v>
      </c>
      <c r="C782" s="550"/>
      <c r="D782" s="551" t="s">
        <v>51</v>
      </c>
      <c r="E782" s="551"/>
      <c r="F782" s="551"/>
      <c r="G782" s="390"/>
      <c r="H782" s="390"/>
      <c r="I782" s="390"/>
      <c r="J782" s="390"/>
      <c r="K782" s="390"/>
      <c r="L782" s="391"/>
    </row>
    <row r="783" spans="2:12" ht="24" x14ac:dyDescent="0.2">
      <c r="B783" s="56" t="s">
        <v>1</v>
      </c>
      <c r="C783" s="57" t="s">
        <v>2</v>
      </c>
      <c r="D783" s="57" t="s">
        <v>2</v>
      </c>
      <c r="E783" s="5" t="s">
        <v>3</v>
      </c>
      <c r="F783" s="5" t="s">
        <v>4</v>
      </c>
      <c r="G783" s="89" t="s">
        <v>6</v>
      </c>
      <c r="H783" s="83" t="s">
        <v>7</v>
      </c>
      <c r="I783" s="83" t="s">
        <v>52</v>
      </c>
      <c r="J783" s="83" t="s">
        <v>53</v>
      </c>
      <c r="K783" s="5" t="s">
        <v>10</v>
      </c>
      <c r="L783" s="5" t="s">
        <v>11</v>
      </c>
    </row>
    <row r="784" spans="2:12" x14ac:dyDescent="0.2">
      <c r="B784" s="58"/>
      <c r="C784" s="59"/>
      <c r="D784" s="59"/>
      <c r="E784" s="13"/>
      <c r="F784" s="13"/>
      <c r="G784" s="24"/>
      <c r="H784" s="60"/>
      <c r="I784" s="61"/>
      <c r="J784" s="61"/>
      <c r="K784" s="61"/>
      <c r="L784" s="60">
        <f>L778</f>
        <v>69130.810000000041</v>
      </c>
    </row>
    <row r="785" spans="2:12" x14ac:dyDescent="0.2">
      <c r="B785" s="110">
        <v>44166</v>
      </c>
      <c r="C785" s="353" t="s">
        <v>847</v>
      </c>
      <c r="D785" s="11"/>
      <c r="E785" s="15"/>
      <c r="F785" s="394"/>
      <c r="G785" s="15"/>
      <c r="H785" s="112">
        <v>440</v>
      </c>
      <c r="I785" s="12">
        <f>H785*0.32</f>
        <v>140.80000000000001</v>
      </c>
      <c r="J785" s="12">
        <f>H785*0.68</f>
        <v>299.20000000000005</v>
      </c>
      <c r="K785" s="12"/>
      <c r="L785" s="63">
        <f>+J785-K785+L784</f>
        <v>69430.010000000038</v>
      </c>
    </row>
    <row r="786" spans="2:12" x14ac:dyDescent="0.2">
      <c r="B786" s="110">
        <v>44167</v>
      </c>
      <c r="C786" s="353" t="s">
        <v>847</v>
      </c>
      <c r="D786" s="11"/>
      <c r="E786" s="15"/>
      <c r="F786" s="15"/>
      <c r="G786" s="15"/>
      <c r="H786" s="112">
        <v>170</v>
      </c>
      <c r="I786" s="12">
        <f t="shared" ref="I786:I826" si="54">H786*0.32</f>
        <v>54.4</v>
      </c>
      <c r="J786" s="12">
        <f t="shared" ref="J786:J826" si="55">H786*0.68</f>
        <v>115.60000000000001</v>
      </c>
      <c r="K786" s="12"/>
      <c r="L786" s="63">
        <f t="shared" ref="L786:L795" si="56">+J786-K786+L785</f>
        <v>69545.610000000044</v>
      </c>
    </row>
    <row r="787" spans="2:12" x14ac:dyDescent="0.2">
      <c r="B787" s="110">
        <v>44168</v>
      </c>
      <c r="C787" s="353" t="s">
        <v>847</v>
      </c>
      <c r="D787" s="11"/>
      <c r="E787" s="15"/>
      <c r="F787" s="15"/>
      <c r="G787" s="15"/>
      <c r="H787" s="112">
        <v>604</v>
      </c>
      <c r="I787" s="12">
        <f t="shared" si="54"/>
        <v>193.28</v>
      </c>
      <c r="J787" s="12">
        <f t="shared" si="55"/>
        <v>410.72</v>
      </c>
      <c r="K787" s="12"/>
      <c r="L787" s="63">
        <f t="shared" si="56"/>
        <v>69956.330000000045</v>
      </c>
    </row>
    <row r="788" spans="2:12" x14ac:dyDescent="0.2">
      <c r="B788" s="110">
        <v>44169</v>
      </c>
      <c r="C788" s="353" t="s">
        <v>847</v>
      </c>
      <c r="D788" s="11"/>
      <c r="E788" s="15"/>
      <c r="F788" s="15"/>
      <c r="G788" s="15"/>
      <c r="H788" s="112">
        <v>364</v>
      </c>
      <c r="I788" s="12">
        <f t="shared" si="54"/>
        <v>116.48</v>
      </c>
      <c r="J788" s="12">
        <f t="shared" si="55"/>
        <v>247.52</v>
      </c>
      <c r="K788" s="12"/>
      <c r="L788" s="63">
        <f t="shared" si="56"/>
        <v>70203.850000000049</v>
      </c>
    </row>
    <row r="789" spans="2:12" x14ac:dyDescent="0.2">
      <c r="B789" s="110">
        <v>44170</v>
      </c>
      <c r="C789" s="353" t="s">
        <v>847</v>
      </c>
      <c r="D789" s="11"/>
      <c r="E789" s="15"/>
      <c r="F789" s="15"/>
      <c r="G789" s="15"/>
      <c r="H789" s="112">
        <v>220</v>
      </c>
      <c r="I789" s="12">
        <f t="shared" si="54"/>
        <v>70.400000000000006</v>
      </c>
      <c r="J789" s="12">
        <f t="shared" si="55"/>
        <v>149.60000000000002</v>
      </c>
      <c r="K789" s="12"/>
      <c r="L789" s="63">
        <f t="shared" si="56"/>
        <v>70353.450000000055</v>
      </c>
    </row>
    <row r="790" spans="2:12" x14ac:dyDescent="0.2">
      <c r="B790" s="110">
        <v>44172</v>
      </c>
      <c r="C790" s="353" t="s">
        <v>847</v>
      </c>
      <c r="D790" s="11"/>
      <c r="E790" s="15"/>
      <c r="F790" s="15"/>
      <c r="G790" s="15"/>
      <c r="H790" s="112">
        <v>440</v>
      </c>
      <c r="I790" s="12">
        <f t="shared" si="54"/>
        <v>140.80000000000001</v>
      </c>
      <c r="J790" s="12">
        <f t="shared" si="55"/>
        <v>299.20000000000005</v>
      </c>
      <c r="K790" s="12"/>
      <c r="L790" s="63">
        <f t="shared" si="56"/>
        <v>70652.650000000052</v>
      </c>
    </row>
    <row r="791" spans="2:12" x14ac:dyDescent="0.2">
      <c r="B791" s="110">
        <v>44174</v>
      </c>
      <c r="C791" s="353" t="s">
        <v>847</v>
      </c>
      <c r="D791" s="11"/>
      <c r="E791" s="15"/>
      <c r="F791" s="15"/>
      <c r="G791" s="15"/>
      <c r="H791" s="112">
        <v>280</v>
      </c>
      <c r="I791" s="12">
        <f t="shared" si="54"/>
        <v>89.600000000000009</v>
      </c>
      <c r="J791" s="12">
        <f t="shared" si="55"/>
        <v>190.4</v>
      </c>
      <c r="K791" s="12"/>
      <c r="L791" s="63">
        <f t="shared" si="56"/>
        <v>70843.050000000047</v>
      </c>
    </row>
    <row r="792" spans="2:12" x14ac:dyDescent="0.2">
      <c r="B792" s="110">
        <v>44175</v>
      </c>
      <c r="C792" s="353" t="s">
        <v>847</v>
      </c>
      <c r="D792" s="77"/>
      <c r="E792" s="15"/>
      <c r="F792" s="15"/>
      <c r="G792" s="15"/>
      <c r="H792" s="112">
        <v>364</v>
      </c>
      <c r="I792" s="12">
        <f t="shared" si="54"/>
        <v>116.48</v>
      </c>
      <c r="J792" s="12">
        <f t="shared" si="55"/>
        <v>247.52</v>
      </c>
      <c r="K792" s="12"/>
      <c r="L792" s="63">
        <f t="shared" si="56"/>
        <v>71090.570000000051</v>
      </c>
    </row>
    <row r="793" spans="2:12" x14ac:dyDescent="0.2">
      <c r="B793" s="110">
        <v>44176</v>
      </c>
      <c r="C793" s="353" t="s">
        <v>847</v>
      </c>
      <c r="D793" s="11"/>
      <c r="E793" s="15"/>
      <c r="F793" s="15"/>
      <c r="G793" s="15"/>
      <c r="H793" s="112">
        <v>728</v>
      </c>
      <c r="I793" s="12">
        <f t="shared" si="54"/>
        <v>232.96</v>
      </c>
      <c r="J793" s="12">
        <f t="shared" si="55"/>
        <v>495.04</v>
      </c>
      <c r="K793" s="12"/>
      <c r="L793" s="63">
        <f t="shared" si="56"/>
        <v>71585.610000000044</v>
      </c>
    </row>
    <row r="794" spans="2:12" x14ac:dyDescent="0.2">
      <c r="B794" s="110">
        <v>44179</v>
      </c>
      <c r="C794" s="353" t="s">
        <v>847</v>
      </c>
      <c r="D794" s="11"/>
      <c r="E794" s="15"/>
      <c r="F794" s="15"/>
      <c r="G794" s="15"/>
      <c r="H794" s="112">
        <v>880</v>
      </c>
      <c r="I794" s="12">
        <f t="shared" si="54"/>
        <v>281.60000000000002</v>
      </c>
      <c r="J794" s="12">
        <f t="shared" si="55"/>
        <v>598.40000000000009</v>
      </c>
      <c r="K794" s="12"/>
      <c r="L794" s="63">
        <f t="shared" si="56"/>
        <v>72184.010000000038</v>
      </c>
    </row>
    <row r="795" spans="2:12" x14ac:dyDescent="0.2">
      <c r="B795" s="110">
        <v>44180</v>
      </c>
      <c r="C795" s="353" t="s">
        <v>847</v>
      </c>
      <c r="D795" s="11"/>
      <c r="E795" s="15"/>
      <c r="F795" s="15"/>
      <c r="G795" s="15"/>
      <c r="H795" s="112">
        <v>1158</v>
      </c>
      <c r="I795" s="12">
        <f t="shared" si="54"/>
        <v>370.56</v>
      </c>
      <c r="J795" s="12">
        <f t="shared" si="55"/>
        <v>787.44</v>
      </c>
      <c r="K795" s="12"/>
      <c r="L795" s="63">
        <f t="shared" si="56"/>
        <v>72971.450000000041</v>
      </c>
    </row>
    <row r="796" spans="2:12" x14ac:dyDescent="0.2">
      <c r="B796" s="110">
        <v>44181</v>
      </c>
      <c r="C796" s="353" t="s">
        <v>847</v>
      </c>
      <c r="D796" s="65"/>
      <c r="E796" s="13"/>
      <c r="F796" s="15"/>
      <c r="G796" s="15"/>
      <c r="H796" s="112">
        <v>1360</v>
      </c>
      <c r="I796" s="12">
        <f t="shared" si="54"/>
        <v>435.2</v>
      </c>
      <c r="J796" s="12">
        <f t="shared" si="55"/>
        <v>924.80000000000007</v>
      </c>
      <c r="K796" s="12"/>
      <c r="L796" s="63">
        <f>+J796-K796+L795</f>
        <v>73896.250000000044</v>
      </c>
    </row>
    <row r="797" spans="2:12" x14ac:dyDescent="0.2">
      <c r="B797" s="110">
        <v>44182</v>
      </c>
      <c r="C797" s="353" t="s">
        <v>847</v>
      </c>
      <c r="D797" s="65"/>
      <c r="E797" s="13"/>
      <c r="F797" s="15"/>
      <c r="G797" s="15"/>
      <c r="H797" s="112">
        <v>1650</v>
      </c>
      <c r="I797" s="12">
        <f t="shared" si="54"/>
        <v>528</v>
      </c>
      <c r="J797" s="12">
        <f t="shared" si="55"/>
        <v>1122</v>
      </c>
      <c r="K797" s="12"/>
      <c r="L797" s="63">
        <f t="shared" ref="L797:L849" si="57">+J797-K797+L796</f>
        <v>75018.250000000044</v>
      </c>
    </row>
    <row r="798" spans="2:12" x14ac:dyDescent="0.2">
      <c r="B798" s="110">
        <v>44183</v>
      </c>
      <c r="C798" s="353" t="s">
        <v>847</v>
      </c>
      <c r="D798" s="65"/>
      <c r="E798" s="13"/>
      <c r="F798" s="15"/>
      <c r="G798" s="15"/>
      <c r="H798" s="112">
        <v>1540</v>
      </c>
      <c r="I798" s="12">
        <f t="shared" si="54"/>
        <v>492.8</v>
      </c>
      <c r="J798" s="12">
        <f t="shared" si="55"/>
        <v>1047.2</v>
      </c>
      <c r="K798" s="12"/>
      <c r="L798" s="63">
        <f t="shared" si="57"/>
        <v>76065.450000000041</v>
      </c>
    </row>
    <row r="799" spans="2:12" x14ac:dyDescent="0.2">
      <c r="B799" s="110">
        <v>44184</v>
      </c>
      <c r="C799" s="353" t="s">
        <v>847</v>
      </c>
      <c r="D799" s="65"/>
      <c r="E799" s="13"/>
      <c r="F799" s="15"/>
      <c r="G799" s="15"/>
      <c r="H799" s="112">
        <v>880</v>
      </c>
      <c r="I799" s="12">
        <f t="shared" si="54"/>
        <v>281.60000000000002</v>
      </c>
      <c r="J799" s="12">
        <f t="shared" si="55"/>
        <v>598.40000000000009</v>
      </c>
      <c r="K799" s="12"/>
      <c r="L799" s="63">
        <f t="shared" si="57"/>
        <v>76663.850000000035</v>
      </c>
    </row>
    <row r="800" spans="2:12" x14ac:dyDescent="0.2">
      <c r="B800" s="110">
        <v>44187</v>
      </c>
      <c r="C800" s="353" t="s">
        <v>847</v>
      </c>
      <c r="D800" s="65"/>
      <c r="E800" s="13"/>
      <c r="F800" s="15"/>
      <c r="G800" s="15"/>
      <c r="H800" s="112">
        <v>220</v>
      </c>
      <c r="I800" s="12">
        <f t="shared" si="54"/>
        <v>70.400000000000006</v>
      </c>
      <c r="J800" s="12">
        <f t="shared" si="55"/>
        <v>149.60000000000002</v>
      </c>
      <c r="K800" s="12"/>
      <c r="L800" s="63">
        <f t="shared" si="57"/>
        <v>76813.450000000041</v>
      </c>
    </row>
    <row r="801" spans="2:12" x14ac:dyDescent="0.2">
      <c r="B801" s="110">
        <v>44188</v>
      </c>
      <c r="C801" s="353" t="s">
        <v>847</v>
      </c>
      <c r="D801" s="65"/>
      <c r="E801" s="13"/>
      <c r="F801" s="15"/>
      <c r="G801" s="15"/>
      <c r="H801" s="112">
        <v>870</v>
      </c>
      <c r="I801" s="12">
        <f t="shared" si="54"/>
        <v>278.40000000000003</v>
      </c>
      <c r="J801" s="12">
        <f t="shared" si="55"/>
        <v>591.6</v>
      </c>
      <c r="K801" s="12"/>
      <c r="L801" s="63">
        <f t="shared" si="57"/>
        <v>77405.050000000047</v>
      </c>
    </row>
    <row r="802" spans="2:12" x14ac:dyDescent="0.2">
      <c r="B802" s="110">
        <v>44189</v>
      </c>
      <c r="C802" s="353" t="s">
        <v>847</v>
      </c>
      <c r="D802" s="65"/>
      <c r="E802" s="13"/>
      <c r="F802" s="15"/>
      <c r="G802" s="15"/>
      <c r="H802" s="112">
        <v>330</v>
      </c>
      <c r="I802" s="12">
        <f t="shared" si="54"/>
        <v>105.60000000000001</v>
      </c>
      <c r="J802" s="12">
        <f t="shared" si="55"/>
        <v>224.4</v>
      </c>
      <c r="K802" s="12"/>
      <c r="L802" s="63">
        <f t="shared" si="57"/>
        <v>77629.450000000041</v>
      </c>
    </row>
    <row r="803" spans="2:12" x14ac:dyDescent="0.2">
      <c r="B803" s="110">
        <v>44191</v>
      </c>
      <c r="C803" s="353" t="s">
        <v>847</v>
      </c>
      <c r="D803" s="65"/>
      <c r="E803" s="13"/>
      <c r="F803" s="15"/>
      <c r="G803" s="15"/>
      <c r="H803" s="112">
        <v>220</v>
      </c>
      <c r="I803" s="12">
        <f t="shared" si="54"/>
        <v>70.400000000000006</v>
      </c>
      <c r="J803" s="12">
        <f t="shared" si="55"/>
        <v>149.60000000000002</v>
      </c>
      <c r="K803" s="12"/>
      <c r="L803" s="63">
        <f t="shared" si="57"/>
        <v>77779.050000000047</v>
      </c>
    </row>
    <row r="804" spans="2:12" x14ac:dyDescent="0.2">
      <c r="B804" s="110">
        <v>44193</v>
      </c>
      <c r="C804" s="353" t="s">
        <v>847</v>
      </c>
      <c r="D804" s="65"/>
      <c r="E804" s="13"/>
      <c r="F804" s="15"/>
      <c r="G804" s="15"/>
      <c r="H804" s="112">
        <v>440</v>
      </c>
      <c r="I804" s="12">
        <f t="shared" si="54"/>
        <v>140.80000000000001</v>
      </c>
      <c r="J804" s="12">
        <f t="shared" si="55"/>
        <v>299.20000000000005</v>
      </c>
      <c r="K804" s="12"/>
      <c r="L804" s="63">
        <f t="shared" si="57"/>
        <v>78078.250000000044</v>
      </c>
    </row>
    <row r="805" spans="2:12" x14ac:dyDescent="0.2">
      <c r="B805" s="110">
        <v>44194</v>
      </c>
      <c r="C805" s="353" t="s">
        <v>847</v>
      </c>
      <c r="D805" s="65"/>
      <c r="E805" s="13"/>
      <c r="F805" s="15"/>
      <c r="G805" s="15"/>
      <c r="H805" s="112">
        <v>2960</v>
      </c>
      <c r="I805" s="12">
        <f t="shared" si="54"/>
        <v>947.2</v>
      </c>
      <c r="J805" s="12">
        <f t="shared" si="55"/>
        <v>2012.8000000000002</v>
      </c>
      <c r="K805" s="12"/>
      <c r="L805" s="63">
        <f t="shared" si="57"/>
        <v>80091.050000000047</v>
      </c>
    </row>
    <row r="806" spans="2:12" x14ac:dyDescent="0.2">
      <c r="B806" s="110">
        <v>44195</v>
      </c>
      <c r="C806" s="353" t="s">
        <v>847</v>
      </c>
      <c r="D806" s="65"/>
      <c r="E806" s="13"/>
      <c r="F806" s="15"/>
      <c r="G806" s="15"/>
      <c r="H806" s="112">
        <v>670</v>
      </c>
      <c r="I806" s="12">
        <f t="shared" si="54"/>
        <v>214.4</v>
      </c>
      <c r="J806" s="12">
        <f t="shared" si="55"/>
        <v>455.6</v>
      </c>
      <c r="K806" s="12"/>
      <c r="L806" s="63">
        <f t="shared" si="57"/>
        <v>80546.650000000052</v>
      </c>
    </row>
    <row r="807" spans="2:12" x14ac:dyDescent="0.2">
      <c r="B807" s="110">
        <v>44196</v>
      </c>
      <c r="C807" s="353" t="s">
        <v>847</v>
      </c>
      <c r="D807" s="65"/>
      <c r="E807" s="13"/>
      <c r="F807" s="15"/>
      <c r="G807" s="15"/>
      <c r="H807" s="112">
        <v>880</v>
      </c>
      <c r="I807" s="12">
        <f t="shared" si="54"/>
        <v>281.60000000000002</v>
      </c>
      <c r="J807" s="12">
        <f t="shared" si="55"/>
        <v>598.40000000000009</v>
      </c>
      <c r="K807" s="12"/>
      <c r="L807" s="63">
        <f t="shared" si="57"/>
        <v>81145.050000000047</v>
      </c>
    </row>
    <row r="808" spans="2:12" x14ac:dyDescent="0.2">
      <c r="B808" s="110"/>
      <c r="C808" s="353"/>
      <c r="D808" s="65"/>
      <c r="E808" s="13"/>
      <c r="F808" s="15"/>
      <c r="G808" s="15"/>
      <c r="H808" s="112"/>
      <c r="I808" s="12">
        <f t="shared" si="54"/>
        <v>0</v>
      </c>
      <c r="J808" s="12">
        <f t="shared" si="55"/>
        <v>0</v>
      </c>
      <c r="K808" s="12"/>
      <c r="L808" s="63">
        <f t="shared" si="57"/>
        <v>81145.050000000047</v>
      </c>
    </row>
    <row r="809" spans="2:12" x14ac:dyDescent="0.2">
      <c r="B809" s="110"/>
      <c r="C809" s="353"/>
      <c r="D809" s="65"/>
      <c r="E809" s="13"/>
      <c r="F809" s="15"/>
      <c r="G809" s="15"/>
      <c r="H809" s="112"/>
      <c r="I809" s="12">
        <f t="shared" si="54"/>
        <v>0</v>
      </c>
      <c r="J809" s="12">
        <f t="shared" si="55"/>
        <v>0</v>
      </c>
      <c r="K809" s="12"/>
      <c r="L809" s="63">
        <f t="shared" si="57"/>
        <v>81145.050000000047</v>
      </c>
    </row>
    <row r="810" spans="2:12" ht="12.75" x14ac:dyDescent="0.2">
      <c r="B810" s="110">
        <v>44182</v>
      </c>
      <c r="C810" s="353" t="s">
        <v>847</v>
      </c>
      <c r="D810" s="469" t="s">
        <v>849</v>
      </c>
      <c r="E810" s="13"/>
      <c r="F810" s="15"/>
      <c r="G810" s="15"/>
      <c r="H810" s="112">
        <v>110</v>
      </c>
      <c r="I810" s="12">
        <f t="shared" si="54"/>
        <v>35.200000000000003</v>
      </c>
      <c r="J810" s="12">
        <f t="shared" si="55"/>
        <v>74.800000000000011</v>
      </c>
      <c r="K810" s="12"/>
      <c r="L810" s="63">
        <f t="shared" si="57"/>
        <v>81219.850000000049</v>
      </c>
    </row>
    <row r="811" spans="2:12" ht="12.75" x14ac:dyDescent="0.2">
      <c r="B811" s="110">
        <v>44193</v>
      </c>
      <c r="C811" s="353" t="s">
        <v>847</v>
      </c>
      <c r="D811" s="470" t="s">
        <v>850</v>
      </c>
      <c r="E811" s="13"/>
      <c r="F811" s="15"/>
      <c r="G811" s="15"/>
      <c r="H811" s="112">
        <v>220</v>
      </c>
      <c r="I811" s="12">
        <f t="shared" si="54"/>
        <v>70.400000000000006</v>
      </c>
      <c r="J811" s="12">
        <f t="shared" si="55"/>
        <v>149.60000000000002</v>
      </c>
      <c r="K811" s="12"/>
      <c r="L811" s="63">
        <f t="shared" si="57"/>
        <v>81369.450000000055</v>
      </c>
    </row>
    <row r="812" spans="2:12" ht="12.75" x14ac:dyDescent="0.2">
      <c r="B812" s="110">
        <v>44193</v>
      </c>
      <c r="C812" s="353" t="s">
        <v>847</v>
      </c>
      <c r="D812" s="470" t="s">
        <v>851</v>
      </c>
      <c r="E812" s="13"/>
      <c r="F812" s="15"/>
      <c r="G812" s="15"/>
      <c r="H812" s="112">
        <v>220</v>
      </c>
      <c r="I812" s="12">
        <f t="shared" si="54"/>
        <v>70.400000000000006</v>
      </c>
      <c r="J812" s="12">
        <f t="shared" si="55"/>
        <v>149.60000000000002</v>
      </c>
      <c r="K812" s="12"/>
      <c r="L812" s="63">
        <f t="shared" si="57"/>
        <v>81519.050000000061</v>
      </c>
    </row>
    <row r="813" spans="2:12" ht="12.75" x14ac:dyDescent="0.2">
      <c r="B813" s="110">
        <v>44193</v>
      </c>
      <c r="C813" s="353" t="s">
        <v>847</v>
      </c>
      <c r="D813" s="470" t="s">
        <v>852</v>
      </c>
      <c r="E813" s="13"/>
      <c r="F813" s="15"/>
      <c r="G813" s="15"/>
      <c r="H813" s="112">
        <v>144</v>
      </c>
      <c r="I813" s="12">
        <f t="shared" si="54"/>
        <v>46.08</v>
      </c>
      <c r="J813" s="12">
        <f t="shared" si="55"/>
        <v>97.92</v>
      </c>
      <c r="K813" s="12"/>
      <c r="L813" s="63">
        <f t="shared" si="57"/>
        <v>81616.970000000059</v>
      </c>
    </row>
    <row r="814" spans="2:12" x14ac:dyDescent="0.2">
      <c r="B814" s="110"/>
      <c r="C814" s="353"/>
      <c r="D814" s="65"/>
      <c r="E814" s="13"/>
      <c r="F814" s="15"/>
      <c r="G814" s="15"/>
      <c r="H814" s="112"/>
      <c r="I814" s="12">
        <f t="shared" si="54"/>
        <v>0</v>
      </c>
      <c r="J814" s="12">
        <f t="shared" si="55"/>
        <v>0</v>
      </c>
      <c r="K814" s="12"/>
      <c r="L814" s="63">
        <f t="shared" si="57"/>
        <v>81616.970000000059</v>
      </c>
    </row>
    <row r="815" spans="2:12" x14ac:dyDescent="0.2">
      <c r="B815" s="110"/>
      <c r="C815" s="353"/>
      <c r="D815" s="65"/>
      <c r="E815" s="13"/>
      <c r="F815" s="15"/>
      <c r="G815" s="15"/>
      <c r="H815" s="112"/>
      <c r="I815" s="12">
        <f t="shared" si="54"/>
        <v>0</v>
      </c>
      <c r="J815" s="12">
        <f t="shared" si="55"/>
        <v>0</v>
      </c>
      <c r="K815" s="12"/>
      <c r="L815" s="63">
        <f t="shared" si="57"/>
        <v>81616.970000000059</v>
      </c>
    </row>
    <row r="816" spans="2:12" x14ac:dyDescent="0.2">
      <c r="B816" s="110">
        <v>44194</v>
      </c>
      <c r="C816" s="353" t="s">
        <v>858</v>
      </c>
      <c r="D816" s="65" t="s">
        <v>859</v>
      </c>
      <c r="E816" s="13"/>
      <c r="F816" s="15"/>
      <c r="G816" s="15"/>
      <c r="H816" s="112">
        <v>330</v>
      </c>
      <c r="I816" s="12">
        <f t="shared" si="54"/>
        <v>105.60000000000001</v>
      </c>
      <c r="J816" s="12">
        <f t="shared" si="55"/>
        <v>224.4</v>
      </c>
      <c r="K816" s="12"/>
      <c r="L816" s="63">
        <f t="shared" si="57"/>
        <v>81841.370000000054</v>
      </c>
    </row>
    <row r="817" spans="2:12" x14ac:dyDescent="0.2">
      <c r="B817" s="110"/>
      <c r="C817" s="353"/>
      <c r="D817" s="65"/>
      <c r="E817" s="13"/>
      <c r="F817" s="15"/>
      <c r="G817" s="15"/>
      <c r="H817" s="112"/>
      <c r="I817" s="12">
        <f t="shared" si="54"/>
        <v>0</v>
      </c>
      <c r="J817" s="12">
        <f t="shared" si="55"/>
        <v>0</v>
      </c>
      <c r="K817" s="12"/>
      <c r="L817" s="63">
        <f t="shared" si="57"/>
        <v>81841.370000000054</v>
      </c>
    </row>
    <row r="818" spans="2:12" x14ac:dyDescent="0.2">
      <c r="B818" s="110"/>
      <c r="C818" s="353"/>
      <c r="D818" s="65"/>
      <c r="E818" s="13"/>
      <c r="F818" s="15"/>
      <c r="G818" s="15"/>
      <c r="H818" s="112"/>
      <c r="I818" s="12">
        <f t="shared" si="54"/>
        <v>0</v>
      </c>
      <c r="J818" s="12">
        <f t="shared" si="55"/>
        <v>0</v>
      </c>
      <c r="K818" s="12"/>
      <c r="L818" s="63">
        <f t="shared" si="57"/>
        <v>81841.370000000054</v>
      </c>
    </row>
    <row r="819" spans="2:12" x14ac:dyDescent="0.2">
      <c r="B819" s="110">
        <v>44195</v>
      </c>
      <c r="C819" s="353" t="s">
        <v>858</v>
      </c>
      <c r="D819" s="65" t="s">
        <v>859</v>
      </c>
      <c r="E819" s="13"/>
      <c r="F819" s="15"/>
      <c r="G819" s="15"/>
      <c r="H819" s="112">
        <v>110</v>
      </c>
      <c r="I819" s="12">
        <f t="shared" si="54"/>
        <v>35.200000000000003</v>
      </c>
      <c r="J819" s="12">
        <f t="shared" si="55"/>
        <v>74.800000000000011</v>
      </c>
      <c r="K819" s="12"/>
      <c r="L819" s="63">
        <f t="shared" si="57"/>
        <v>81916.170000000056</v>
      </c>
    </row>
    <row r="820" spans="2:12" x14ac:dyDescent="0.2">
      <c r="B820" s="110"/>
      <c r="C820" s="353"/>
      <c r="D820" s="65"/>
      <c r="E820" s="13"/>
      <c r="F820" s="15"/>
      <c r="G820" s="15"/>
      <c r="H820" s="112"/>
      <c r="I820" s="12">
        <f t="shared" si="54"/>
        <v>0</v>
      </c>
      <c r="J820" s="12">
        <f t="shared" si="55"/>
        <v>0</v>
      </c>
      <c r="K820" s="12"/>
      <c r="L820" s="63">
        <f t="shared" si="57"/>
        <v>81916.170000000056</v>
      </c>
    </row>
    <row r="821" spans="2:12" x14ac:dyDescent="0.2">
      <c r="B821" s="110"/>
      <c r="C821" s="353"/>
      <c r="D821" s="65"/>
      <c r="E821" s="13"/>
      <c r="F821" s="15"/>
      <c r="G821" s="15"/>
      <c r="H821" s="112"/>
      <c r="I821" s="12">
        <f t="shared" si="54"/>
        <v>0</v>
      </c>
      <c r="J821" s="12">
        <f t="shared" si="55"/>
        <v>0</v>
      </c>
      <c r="K821" s="12"/>
      <c r="L821" s="63">
        <f t="shared" si="57"/>
        <v>81916.170000000056</v>
      </c>
    </row>
    <row r="822" spans="2:12" x14ac:dyDescent="0.2">
      <c r="B822" s="110"/>
      <c r="C822" s="353"/>
      <c r="D822" s="65"/>
      <c r="E822" s="13"/>
      <c r="F822" s="15"/>
      <c r="G822" s="15"/>
      <c r="H822" s="112"/>
      <c r="I822" s="12">
        <f t="shared" si="54"/>
        <v>0</v>
      </c>
      <c r="J822" s="12">
        <f t="shared" si="55"/>
        <v>0</v>
      </c>
      <c r="K822" s="12"/>
      <c r="L822" s="63">
        <f t="shared" si="57"/>
        <v>81916.170000000056</v>
      </c>
    </row>
    <row r="823" spans="2:12" x14ac:dyDescent="0.2">
      <c r="B823" s="110"/>
      <c r="C823" s="353"/>
      <c r="D823" s="65"/>
      <c r="E823" s="13"/>
      <c r="F823" s="15"/>
      <c r="G823" s="15"/>
      <c r="H823" s="112"/>
      <c r="I823" s="12">
        <f t="shared" si="54"/>
        <v>0</v>
      </c>
      <c r="J823" s="12">
        <f t="shared" si="55"/>
        <v>0</v>
      </c>
      <c r="K823" s="12"/>
      <c r="L823" s="63">
        <f t="shared" si="57"/>
        <v>81916.170000000056</v>
      </c>
    </row>
    <row r="824" spans="2:12" x14ac:dyDescent="0.2">
      <c r="B824" s="110"/>
      <c r="C824" s="353"/>
      <c r="D824" s="65"/>
      <c r="E824" s="13"/>
      <c r="F824" s="15"/>
      <c r="G824" s="15"/>
      <c r="H824" s="112"/>
      <c r="I824" s="12">
        <f t="shared" si="54"/>
        <v>0</v>
      </c>
      <c r="J824" s="12">
        <f t="shared" si="55"/>
        <v>0</v>
      </c>
      <c r="K824" s="12"/>
      <c r="L824" s="63">
        <f t="shared" si="57"/>
        <v>81916.170000000056</v>
      </c>
    </row>
    <row r="825" spans="2:12" x14ac:dyDescent="0.2">
      <c r="B825" s="110"/>
      <c r="C825" s="353"/>
      <c r="D825" s="65"/>
      <c r="E825" s="13"/>
      <c r="F825" s="15"/>
      <c r="G825" s="15"/>
      <c r="H825" s="112"/>
      <c r="I825" s="12">
        <f t="shared" si="54"/>
        <v>0</v>
      </c>
      <c r="J825" s="12">
        <f t="shared" si="55"/>
        <v>0</v>
      </c>
      <c r="K825" s="12"/>
      <c r="L825" s="63">
        <f t="shared" si="57"/>
        <v>81916.170000000056</v>
      </c>
    </row>
    <row r="826" spans="2:12" x14ac:dyDescent="0.2">
      <c r="B826" s="110"/>
      <c r="C826" s="353"/>
      <c r="D826" s="65"/>
      <c r="E826" s="13"/>
      <c r="F826" s="15"/>
      <c r="G826" s="15"/>
      <c r="H826" s="112"/>
      <c r="I826" s="12">
        <f t="shared" si="54"/>
        <v>0</v>
      </c>
      <c r="J826" s="12">
        <f t="shared" si="55"/>
        <v>0</v>
      </c>
      <c r="K826" s="12"/>
      <c r="L826" s="63">
        <f t="shared" si="57"/>
        <v>81916.170000000056</v>
      </c>
    </row>
    <row r="827" spans="2:12" x14ac:dyDescent="0.2">
      <c r="B827" s="110"/>
      <c r="C827" s="65"/>
      <c r="D827" s="65"/>
      <c r="E827" s="13"/>
      <c r="F827" s="15"/>
      <c r="G827" s="66"/>
      <c r="H827" s="112"/>
      <c r="I827" s="12"/>
      <c r="J827" s="12"/>
      <c r="K827" s="12"/>
      <c r="L827" s="63">
        <f t="shared" si="57"/>
        <v>81916.170000000056</v>
      </c>
    </row>
    <row r="828" spans="2:12" x14ac:dyDescent="0.2">
      <c r="B828" s="547" t="s">
        <v>855</v>
      </c>
      <c r="C828" s="548"/>
      <c r="D828" s="548"/>
      <c r="E828" s="548"/>
      <c r="F828" s="548"/>
      <c r="G828" s="548"/>
      <c r="H828" s="548"/>
      <c r="I828" s="548"/>
      <c r="J828" s="548"/>
      <c r="K828" s="549"/>
      <c r="L828" s="63">
        <f t="shared" si="57"/>
        <v>81916.170000000056</v>
      </c>
    </row>
    <row r="829" spans="2:12" x14ac:dyDescent="0.2">
      <c r="B829" s="552" t="s">
        <v>56</v>
      </c>
      <c r="C829" s="553"/>
      <c r="D829" s="554" t="s">
        <v>51</v>
      </c>
      <c r="E829" s="554"/>
      <c r="F829" s="554"/>
      <c r="G829" s="94"/>
      <c r="H829" s="95"/>
      <c r="I829" s="96"/>
      <c r="J829" s="96"/>
      <c r="K829" s="97"/>
      <c r="L829" s="63">
        <f t="shared" si="57"/>
        <v>81916.170000000056</v>
      </c>
    </row>
    <row r="830" spans="2:12" x14ac:dyDescent="0.2">
      <c r="B830" s="91" t="s">
        <v>1</v>
      </c>
      <c r="C830" s="92" t="s">
        <v>57</v>
      </c>
      <c r="D830" s="92" t="s">
        <v>2</v>
      </c>
      <c r="E830" s="392" t="s">
        <v>3</v>
      </c>
      <c r="F830" s="392" t="s">
        <v>4</v>
      </c>
      <c r="G830" s="561" t="s">
        <v>58</v>
      </c>
      <c r="H830" s="562"/>
      <c r="I830" s="562"/>
      <c r="J830" s="563"/>
      <c r="K830" s="90"/>
      <c r="L830" s="63">
        <f t="shared" si="57"/>
        <v>81916.170000000056</v>
      </c>
    </row>
    <row r="831" spans="2:12" x14ac:dyDescent="0.2">
      <c r="B831" s="10"/>
      <c r="C831" s="77"/>
      <c r="D831" s="77"/>
      <c r="E831" s="3"/>
      <c r="F831" s="16"/>
      <c r="G831" s="588"/>
      <c r="H831" s="589"/>
      <c r="I831" s="590"/>
      <c r="J831" s="349"/>
      <c r="K831" s="70"/>
      <c r="L831" s="63">
        <f t="shared" si="57"/>
        <v>81916.170000000056</v>
      </c>
    </row>
    <row r="832" spans="2:12" ht="54.75" customHeight="1" x14ac:dyDescent="0.2">
      <c r="B832" s="10"/>
      <c r="C832" s="77"/>
      <c r="D832" s="77"/>
      <c r="E832" s="3"/>
      <c r="F832" s="16"/>
      <c r="G832" s="571" t="s">
        <v>845</v>
      </c>
      <c r="H832" s="572"/>
      <c r="I832" s="573"/>
      <c r="J832" s="349"/>
      <c r="K832" s="70">
        <v>500</v>
      </c>
      <c r="L832" s="63">
        <f t="shared" si="57"/>
        <v>81416.170000000056</v>
      </c>
    </row>
    <row r="833" spans="2:12" ht="42" customHeight="1" x14ac:dyDescent="0.2">
      <c r="B833" s="10"/>
      <c r="C833" s="77"/>
      <c r="D833" s="77"/>
      <c r="E833" s="3"/>
      <c r="F833" s="16"/>
      <c r="G833" s="571" t="s">
        <v>846</v>
      </c>
      <c r="H833" s="572"/>
      <c r="I833" s="573"/>
      <c r="J833" s="349"/>
      <c r="K833" s="70">
        <v>800</v>
      </c>
      <c r="L833" s="63">
        <f t="shared" si="57"/>
        <v>80616.170000000056</v>
      </c>
    </row>
    <row r="834" spans="2:12" ht="13.5" customHeight="1" x14ac:dyDescent="0.2">
      <c r="B834" s="10"/>
      <c r="C834" s="77"/>
      <c r="D834" s="77"/>
      <c r="E834" s="3"/>
      <c r="F834" s="16"/>
      <c r="G834" s="571"/>
      <c r="H834" s="572"/>
      <c r="I834" s="573"/>
      <c r="J834" s="349"/>
      <c r="K834" s="70"/>
      <c r="L834" s="63">
        <f t="shared" si="57"/>
        <v>80616.170000000056</v>
      </c>
    </row>
    <row r="835" spans="2:12" ht="13.5" customHeight="1" x14ac:dyDescent="0.2">
      <c r="B835" s="10"/>
      <c r="C835" s="77"/>
      <c r="D835" s="77"/>
      <c r="E835" s="3"/>
      <c r="F835" s="16"/>
      <c r="G835" s="597" t="s">
        <v>843</v>
      </c>
      <c r="H835" s="598"/>
      <c r="I835" s="599"/>
      <c r="J835" s="349"/>
      <c r="K835" s="441">
        <v>1700</v>
      </c>
      <c r="L835" s="63">
        <f t="shared" si="57"/>
        <v>78916.170000000056</v>
      </c>
    </row>
    <row r="836" spans="2:12" ht="13.5" customHeight="1" x14ac:dyDescent="0.2">
      <c r="B836" s="10"/>
      <c r="C836" s="77"/>
      <c r="D836" s="77"/>
      <c r="E836" s="3"/>
      <c r="F836" s="16"/>
      <c r="G836" s="597" t="s">
        <v>795</v>
      </c>
      <c r="H836" s="598"/>
      <c r="I836" s="599"/>
      <c r="J836" s="349"/>
      <c r="K836" s="441">
        <v>900</v>
      </c>
      <c r="L836" s="63">
        <f t="shared" si="57"/>
        <v>78016.170000000056</v>
      </c>
    </row>
    <row r="837" spans="2:12" ht="13.5" customHeight="1" x14ac:dyDescent="0.2">
      <c r="B837" s="10"/>
      <c r="C837" s="77"/>
      <c r="D837" s="77"/>
      <c r="E837" s="3"/>
      <c r="F837" s="16"/>
      <c r="G837" s="597" t="s">
        <v>796</v>
      </c>
      <c r="H837" s="598"/>
      <c r="I837" s="599"/>
      <c r="J837" s="349"/>
      <c r="K837" s="61">
        <v>1500</v>
      </c>
      <c r="L837" s="63">
        <f t="shared" si="57"/>
        <v>76516.170000000056</v>
      </c>
    </row>
    <row r="838" spans="2:12" ht="13.5" customHeight="1" x14ac:dyDescent="0.2">
      <c r="B838" s="10"/>
      <c r="C838" s="77"/>
      <c r="D838" s="77"/>
      <c r="E838" s="3"/>
      <c r="F838" s="16"/>
      <c r="G838" s="597" t="s">
        <v>799</v>
      </c>
      <c r="H838" s="598"/>
      <c r="I838" s="599"/>
      <c r="J838" s="349"/>
      <c r="K838" s="12">
        <v>600</v>
      </c>
      <c r="L838" s="63">
        <f t="shared" si="57"/>
        <v>75916.170000000056</v>
      </c>
    </row>
    <row r="839" spans="2:12" ht="13.5" customHeight="1" x14ac:dyDescent="0.2">
      <c r="B839" s="10"/>
      <c r="C839" s="77"/>
      <c r="D839" s="77"/>
      <c r="E839" s="3"/>
      <c r="F839" s="16"/>
      <c r="G839" s="571"/>
      <c r="H839" s="572"/>
      <c r="I839" s="573"/>
      <c r="J839" s="349"/>
      <c r="K839" s="70">
        <v>1600</v>
      </c>
      <c r="L839" s="63">
        <f t="shared" si="57"/>
        <v>74316.170000000056</v>
      </c>
    </row>
    <row r="840" spans="2:12" ht="13.5" customHeight="1" x14ac:dyDescent="0.2">
      <c r="B840" s="10"/>
      <c r="C840" s="77"/>
      <c r="D840" s="77"/>
      <c r="E840" s="3"/>
      <c r="F840" s="16"/>
      <c r="G840" s="571"/>
      <c r="H840" s="572"/>
      <c r="I840" s="573"/>
      <c r="J840" s="349"/>
      <c r="K840" s="70"/>
      <c r="L840" s="63">
        <f t="shared" si="57"/>
        <v>74316.170000000056</v>
      </c>
    </row>
    <row r="841" spans="2:12" ht="13.5" customHeight="1" x14ac:dyDescent="0.2">
      <c r="B841" s="10"/>
      <c r="C841" s="77"/>
      <c r="D841" s="77"/>
      <c r="E841" s="3"/>
      <c r="F841" s="16"/>
      <c r="G841" s="571"/>
      <c r="H841" s="572"/>
      <c r="I841" s="573"/>
      <c r="J841" s="349"/>
      <c r="K841" s="70"/>
      <c r="L841" s="63">
        <f t="shared" si="57"/>
        <v>74316.170000000056</v>
      </c>
    </row>
    <row r="842" spans="2:12" ht="13.5" customHeight="1" x14ac:dyDescent="0.2">
      <c r="B842" s="10"/>
      <c r="C842" s="77"/>
      <c r="D842" s="77"/>
      <c r="E842" s="3"/>
      <c r="F842" s="16"/>
      <c r="G842" s="591"/>
      <c r="H842" s="592"/>
      <c r="I842" s="593"/>
      <c r="J842" s="349"/>
      <c r="K842" s="70"/>
      <c r="L842" s="63">
        <f t="shared" si="57"/>
        <v>74316.170000000056</v>
      </c>
    </row>
    <row r="843" spans="2:12" x14ac:dyDescent="0.2">
      <c r="B843" s="10"/>
      <c r="C843" s="77"/>
      <c r="D843" s="77"/>
      <c r="E843" s="3"/>
      <c r="F843" s="16"/>
      <c r="G843" s="571"/>
      <c r="H843" s="572"/>
      <c r="I843" s="573"/>
      <c r="J843" s="349"/>
      <c r="K843" s="70"/>
      <c r="L843" s="63">
        <f t="shared" si="57"/>
        <v>74316.170000000056</v>
      </c>
    </row>
    <row r="844" spans="2:12" x14ac:dyDescent="0.2">
      <c r="B844" s="10"/>
      <c r="C844" s="77"/>
      <c r="D844" s="77"/>
      <c r="E844" s="3"/>
      <c r="F844" s="16"/>
      <c r="G844" s="571"/>
      <c r="H844" s="572"/>
      <c r="I844" s="573"/>
      <c r="J844" s="349"/>
      <c r="K844" s="70"/>
      <c r="L844" s="63">
        <f t="shared" si="57"/>
        <v>74316.170000000056</v>
      </c>
    </row>
    <row r="845" spans="2:12" x14ac:dyDescent="0.2">
      <c r="B845" s="10"/>
      <c r="C845" s="77"/>
      <c r="D845" s="77"/>
      <c r="E845" s="3"/>
      <c r="F845" s="16"/>
      <c r="G845" s="571"/>
      <c r="H845" s="572"/>
      <c r="I845" s="573"/>
      <c r="J845" s="349"/>
      <c r="K845" s="70"/>
      <c r="L845" s="63">
        <f t="shared" si="57"/>
        <v>74316.170000000056</v>
      </c>
    </row>
    <row r="846" spans="2:12" x14ac:dyDescent="0.2">
      <c r="B846" s="10"/>
      <c r="C846" s="77"/>
      <c r="D846" s="77"/>
      <c r="E846" s="3"/>
      <c r="F846" s="16"/>
      <c r="G846" s="571"/>
      <c r="H846" s="572"/>
      <c r="I846" s="573"/>
      <c r="J846" s="349"/>
      <c r="K846" s="70"/>
      <c r="L846" s="63">
        <f t="shared" si="57"/>
        <v>74316.170000000056</v>
      </c>
    </row>
    <row r="847" spans="2:12" ht="12" customHeight="1" x14ac:dyDescent="0.2">
      <c r="B847" s="10"/>
      <c r="C847" s="77"/>
      <c r="D847" s="77"/>
      <c r="E847" s="3"/>
      <c r="F847" s="16"/>
      <c r="G847" s="571"/>
      <c r="H847" s="572"/>
      <c r="I847" s="573"/>
      <c r="J847" s="349"/>
      <c r="K847" s="397"/>
      <c r="L847" s="63">
        <f t="shared" si="57"/>
        <v>74316.170000000056</v>
      </c>
    </row>
    <row r="848" spans="2:12" x14ac:dyDescent="0.2">
      <c r="B848" s="10"/>
      <c r="C848" s="77"/>
      <c r="D848" s="77"/>
      <c r="E848" s="3"/>
      <c r="F848" s="16"/>
      <c r="G848" s="375"/>
      <c r="H848" s="568"/>
      <c r="I848" s="570"/>
      <c r="J848" s="349"/>
      <c r="K848" s="70"/>
      <c r="L848" s="63">
        <f t="shared" si="57"/>
        <v>74316.170000000056</v>
      </c>
    </row>
    <row r="849" spans="2:12" x14ac:dyDescent="0.2">
      <c r="B849" s="10"/>
      <c r="C849" s="77"/>
      <c r="D849" s="77"/>
      <c r="E849" s="3"/>
      <c r="F849" s="16"/>
      <c r="G849" s="375"/>
      <c r="H849" s="376"/>
      <c r="I849" s="393"/>
      <c r="J849" s="349"/>
      <c r="K849" s="70"/>
      <c r="L849" s="63">
        <f t="shared" si="57"/>
        <v>74316.170000000056</v>
      </c>
    </row>
    <row r="850" spans="2:12" ht="12.75" thickBot="1" x14ac:dyDescent="0.25">
      <c r="B850" s="64"/>
      <c r="C850" s="65"/>
      <c r="D850" s="65"/>
      <c r="E850" s="13"/>
      <c r="F850" s="13"/>
      <c r="G850" s="104"/>
      <c r="H850" s="84"/>
      <c r="I850" s="12"/>
      <c r="J850" s="12"/>
      <c r="K850" s="12"/>
      <c r="L850" s="63"/>
    </row>
    <row r="851" spans="2:12" x14ac:dyDescent="0.2">
      <c r="B851" s="56"/>
      <c r="C851" s="57"/>
      <c r="D851" s="57"/>
      <c r="E851" s="5"/>
      <c r="F851" s="5"/>
      <c r="G851" s="85" t="s">
        <v>35</v>
      </c>
      <c r="H851" s="107">
        <f>SUM(H785:H826)</f>
        <v>18802</v>
      </c>
      <c r="I851" s="105">
        <f>SUM(I785:I826)</f>
        <v>6016.6399999999994</v>
      </c>
      <c r="J851" s="106">
        <f>SUM(J785:J826)</f>
        <v>12785.36</v>
      </c>
      <c r="K851" s="106">
        <f>SUM(K831:K848)</f>
        <v>7600</v>
      </c>
      <c r="L851" s="108"/>
    </row>
    <row r="852" spans="2:12" ht="12.75" thickBot="1" x14ac:dyDescent="0.25">
      <c r="B852" s="71"/>
      <c r="C852" s="72"/>
      <c r="D852" s="72"/>
      <c r="E852" s="73"/>
      <c r="F852" s="73"/>
      <c r="G852" s="86" t="s">
        <v>13</v>
      </c>
      <c r="H852" s="100"/>
      <c r="I852" s="99"/>
      <c r="J852" s="87"/>
      <c r="K852" s="87"/>
      <c r="L852" s="88">
        <f>+J851-K851+L784</f>
        <v>74316.170000000042</v>
      </c>
    </row>
    <row r="853" spans="2:12" x14ac:dyDescent="0.2">
      <c r="B853" s="25"/>
      <c r="H853" s="74"/>
      <c r="I853" s="25"/>
      <c r="L853" s="25"/>
    </row>
    <row r="854" spans="2:12" ht="13.5" x14ac:dyDescent="0.2">
      <c r="B854" s="25"/>
      <c r="D854" s="540" t="s">
        <v>15</v>
      </c>
      <c r="E854" s="540"/>
      <c r="F854" s="540"/>
      <c r="G854" s="540"/>
      <c r="H854" s="540"/>
      <c r="I854" s="540"/>
    </row>
    <row r="855" spans="2:12" x14ac:dyDescent="0.2">
      <c r="B855" s="25"/>
      <c r="D855" s="541" t="s">
        <v>862</v>
      </c>
      <c r="E855" s="542"/>
      <c r="F855" s="542"/>
      <c r="G855" s="542"/>
      <c r="H855" s="542"/>
      <c r="I855" s="543"/>
    </row>
    <row r="856" spans="2:12" x14ac:dyDescent="0.2">
      <c r="B856" s="25"/>
      <c r="D856" s="17"/>
      <c r="E856" s="18" t="s">
        <v>17</v>
      </c>
      <c r="F856" s="18" t="s">
        <v>18</v>
      </c>
      <c r="G856" s="1" t="s">
        <v>19</v>
      </c>
      <c r="H856" s="1" t="s">
        <v>20</v>
      </c>
      <c r="I856" s="18" t="s">
        <v>21</v>
      </c>
    </row>
    <row r="857" spans="2:12" ht="24" x14ac:dyDescent="0.2">
      <c r="B857" s="25"/>
      <c r="D857" s="19" t="s">
        <v>5</v>
      </c>
      <c r="E857" s="109" t="s">
        <v>7</v>
      </c>
      <c r="F857" s="18" t="s">
        <v>8</v>
      </c>
      <c r="G857" s="1" t="s">
        <v>9</v>
      </c>
      <c r="H857" s="1" t="s">
        <v>22</v>
      </c>
      <c r="I857" s="6" t="s">
        <v>23</v>
      </c>
    </row>
    <row r="858" spans="2:12" x14ac:dyDescent="0.2">
      <c r="B858" s="25"/>
      <c r="D858" s="20" t="s">
        <v>853</v>
      </c>
      <c r="E858" s="21"/>
      <c r="F858" s="21"/>
      <c r="G858" s="22"/>
      <c r="H858" s="2"/>
      <c r="I858" s="55">
        <f>K858</f>
        <v>70804.200000000026</v>
      </c>
      <c r="K858" s="26">
        <f>'PERIODO 2019'!I850</f>
        <v>70804.200000000026</v>
      </c>
    </row>
    <row r="859" spans="2:12" ht="12.75" x14ac:dyDescent="0.2">
      <c r="B859" s="25"/>
      <c r="D859" s="23" t="s">
        <v>25</v>
      </c>
      <c r="E859" s="101">
        <f>H74</f>
        <v>75455</v>
      </c>
      <c r="F859" s="101">
        <f>I74</f>
        <v>24047.040000000008</v>
      </c>
      <c r="G859" s="102">
        <f>J74</f>
        <v>51099.96</v>
      </c>
      <c r="H859" s="3">
        <f>K74</f>
        <v>4029.99</v>
      </c>
      <c r="I859" s="103">
        <f>+G859-H859+I858</f>
        <v>117874.17000000003</v>
      </c>
    </row>
    <row r="860" spans="2:12" ht="12.75" x14ac:dyDescent="0.2">
      <c r="B860" s="25"/>
      <c r="D860" s="23" t="s">
        <v>14</v>
      </c>
      <c r="E860" s="24">
        <f>H153</f>
        <v>14932</v>
      </c>
      <c r="F860" s="24">
        <f>I153</f>
        <v>4778.24</v>
      </c>
      <c r="G860" s="7">
        <f>J153</f>
        <v>10153.759999999998</v>
      </c>
      <c r="H860" s="3">
        <f>K153</f>
        <v>17310</v>
      </c>
      <c r="I860" s="103">
        <f t="shared" ref="I860:I869" si="58">+G860-H860+I859</f>
        <v>110717.93000000002</v>
      </c>
    </row>
    <row r="861" spans="2:12" ht="12.75" x14ac:dyDescent="0.2">
      <c r="B861" s="25"/>
      <c r="D861" s="8" t="s">
        <v>26</v>
      </c>
      <c r="E861" s="24">
        <f>H237</f>
        <v>9260</v>
      </c>
      <c r="F861" s="24">
        <f>I237</f>
        <v>2963.1999999999994</v>
      </c>
      <c r="G861" s="7">
        <f>J237</f>
        <v>6296.8</v>
      </c>
      <c r="H861" s="3">
        <f>K237</f>
        <v>11490</v>
      </c>
      <c r="I861" s="103">
        <f t="shared" si="58"/>
        <v>105524.73000000003</v>
      </c>
    </row>
    <row r="862" spans="2:12" ht="12.75" x14ac:dyDescent="0.2">
      <c r="B862" s="25"/>
      <c r="D862" s="23" t="s">
        <v>27</v>
      </c>
      <c r="E862" s="24">
        <f>H312</f>
        <v>344</v>
      </c>
      <c r="F862" s="24">
        <f>I312</f>
        <v>110.08</v>
      </c>
      <c r="G862" s="7">
        <f>J312</f>
        <v>233.92000000000002</v>
      </c>
      <c r="H862" s="3">
        <f>K312</f>
        <v>12755</v>
      </c>
      <c r="I862" s="103">
        <f t="shared" si="58"/>
        <v>93003.650000000023</v>
      </c>
    </row>
    <row r="863" spans="2:12" ht="12.75" x14ac:dyDescent="0.2">
      <c r="B863" s="25"/>
      <c r="D863" s="23" t="s">
        <v>28</v>
      </c>
      <c r="E863" s="24">
        <f>H376</f>
        <v>5231</v>
      </c>
      <c r="F863" s="24">
        <f>I376</f>
        <v>1673.9200000000003</v>
      </c>
      <c r="G863" s="7">
        <f>J376</f>
        <v>3557.0800000000004</v>
      </c>
      <c r="H863" s="3">
        <f>K376</f>
        <v>1900</v>
      </c>
      <c r="I863" s="103">
        <f t="shared" si="58"/>
        <v>94660.730000000025</v>
      </c>
    </row>
    <row r="864" spans="2:12" ht="12.75" x14ac:dyDescent="0.2">
      <c r="B864" s="25"/>
      <c r="D864" s="23" t="s">
        <v>29</v>
      </c>
      <c r="E864" s="24">
        <f>H457</f>
        <v>10146</v>
      </c>
      <c r="F864" s="24">
        <f>I457</f>
        <v>3246.7200000000003</v>
      </c>
      <c r="G864" s="7">
        <f>J457</f>
        <v>6899.2800000000034</v>
      </c>
      <c r="H864" s="3">
        <f>K457</f>
        <v>6990</v>
      </c>
      <c r="I864" s="103">
        <f t="shared" si="58"/>
        <v>94570.010000000024</v>
      </c>
    </row>
    <row r="865" spans="2:12" ht="12.75" x14ac:dyDescent="0.2">
      <c r="B865" s="25"/>
      <c r="D865" s="23" t="s">
        <v>30</v>
      </c>
      <c r="E865" s="24">
        <f>H519</f>
        <v>6822</v>
      </c>
      <c r="F865" s="24">
        <f>I519</f>
        <v>2183.04</v>
      </c>
      <c r="G865" s="7">
        <f>J519</f>
        <v>4638.96</v>
      </c>
      <c r="H865" s="3">
        <f>K519</f>
        <v>6050</v>
      </c>
      <c r="I865" s="103">
        <f t="shared" si="58"/>
        <v>93158.97000000003</v>
      </c>
    </row>
    <row r="866" spans="2:12" ht="12.75" x14ac:dyDescent="0.2">
      <c r="B866" s="25"/>
      <c r="D866" s="23" t="s">
        <v>31</v>
      </c>
      <c r="E866" s="24">
        <f>H587</f>
        <v>7500</v>
      </c>
      <c r="F866" s="24">
        <f>I587</f>
        <v>2400.0000000000009</v>
      </c>
      <c r="G866" s="7">
        <f>J587</f>
        <v>5100.0000000000018</v>
      </c>
      <c r="H866" s="3">
        <f>K587</f>
        <v>7350</v>
      </c>
      <c r="I866" s="103">
        <f t="shared" si="58"/>
        <v>90908.97000000003</v>
      </c>
    </row>
    <row r="867" spans="2:12" ht="12.75" x14ac:dyDescent="0.2">
      <c r="B867" s="25"/>
      <c r="D867" s="23" t="s">
        <v>32</v>
      </c>
      <c r="E867" s="24">
        <f>H656</f>
        <v>13166</v>
      </c>
      <c r="F867" s="24">
        <f>I656</f>
        <v>4213.1200000000008</v>
      </c>
      <c r="G867" s="7">
        <f>J656</f>
        <v>8952.8800000000047</v>
      </c>
      <c r="H867" s="3">
        <f>K656</f>
        <v>17750</v>
      </c>
      <c r="I867" s="103">
        <f t="shared" si="58"/>
        <v>82111.850000000035</v>
      </c>
      <c r="J867" s="103"/>
    </row>
    <row r="868" spans="2:12" ht="12.75" x14ac:dyDescent="0.2">
      <c r="B868" s="25"/>
      <c r="D868" s="23" t="s">
        <v>33</v>
      </c>
      <c r="E868" s="24">
        <f>H721</f>
        <v>5518</v>
      </c>
      <c r="F868" s="24">
        <f>I721</f>
        <v>1765.76</v>
      </c>
      <c r="G868" s="7">
        <f>J721</f>
        <v>3752.2400000000011</v>
      </c>
      <c r="H868" s="4">
        <f>K721</f>
        <v>13900</v>
      </c>
      <c r="I868" s="103">
        <f t="shared" si="58"/>
        <v>71964.09000000004</v>
      </c>
    </row>
    <row r="869" spans="2:12" ht="12.75" x14ac:dyDescent="0.2">
      <c r="B869" s="25"/>
      <c r="D869" s="23" t="s">
        <v>34</v>
      </c>
      <c r="E869" s="24">
        <f>H777</f>
        <v>9804</v>
      </c>
      <c r="F869" s="24">
        <f>I777</f>
        <v>3137.2799999999997</v>
      </c>
      <c r="G869" s="7">
        <f>J777</f>
        <v>6666.7200000000021</v>
      </c>
      <c r="H869" s="4">
        <f>K777</f>
        <v>9500</v>
      </c>
      <c r="I869" s="103">
        <f t="shared" si="58"/>
        <v>69130.810000000041</v>
      </c>
    </row>
    <row r="870" spans="2:12" ht="12.75" x14ac:dyDescent="0.2">
      <c r="B870" s="25"/>
      <c r="D870" s="23" t="s">
        <v>35</v>
      </c>
      <c r="E870" s="24">
        <f>H851</f>
        <v>18802</v>
      </c>
      <c r="F870" s="24">
        <f>I851</f>
        <v>6016.6399999999994</v>
      </c>
      <c r="G870" s="7">
        <f>J851</f>
        <v>12785.36</v>
      </c>
      <c r="H870" s="4">
        <f>K851</f>
        <v>7600</v>
      </c>
      <c r="I870" s="103">
        <f>+G870-H870+I869</f>
        <v>74316.170000000042</v>
      </c>
      <c r="K870" s="396">
        <f>I870-I858</f>
        <v>3511.9700000000157</v>
      </c>
    </row>
    <row r="871" spans="2:12" ht="12.75" x14ac:dyDescent="0.2">
      <c r="B871" s="25"/>
      <c r="C871" s="25"/>
      <c r="D871" s="15" t="s">
        <v>36</v>
      </c>
      <c r="E871" s="24">
        <f>SUM(E859:E870)</f>
        <v>176980</v>
      </c>
      <c r="F871" s="24">
        <f>SUM(F859:F870)</f>
        <v>56535.040000000015</v>
      </c>
      <c r="G871" s="24">
        <f>SUM(G859:G870)</f>
        <v>120136.96000000002</v>
      </c>
      <c r="H871" s="24">
        <f>SUM(H859:H870)</f>
        <v>116624.98999999999</v>
      </c>
      <c r="I871" s="103"/>
    </row>
    <row r="872" spans="2:12" x14ac:dyDescent="0.2">
      <c r="B872" s="25"/>
      <c r="C872" s="25"/>
      <c r="D872" s="25"/>
      <c r="E872" s="25"/>
      <c r="F872" s="25"/>
      <c r="G872" s="27"/>
      <c r="H872" s="74"/>
      <c r="I872" s="25"/>
      <c r="J872" s="25"/>
      <c r="K872" s="25"/>
      <c r="L872" s="25"/>
    </row>
    <row r="873" spans="2:12" x14ac:dyDescent="0.2">
      <c r="B873" s="25"/>
      <c r="C873" s="25"/>
      <c r="D873" s="25"/>
      <c r="E873" s="25"/>
      <c r="F873" s="25"/>
      <c r="G873" s="27"/>
      <c r="H873" s="74"/>
      <c r="I873" s="25"/>
      <c r="J873" s="25"/>
      <c r="K873" s="25"/>
      <c r="L873" s="25"/>
    </row>
    <row r="874" spans="2:12" x14ac:dyDescent="0.2">
      <c r="B874" s="25"/>
      <c r="C874" s="25"/>
      <c r="D874" s="25"/>
      <c r="E874" s="25"/>
      <c r="F874" s="25"/>
      <c r="G874" s="27"/>
      <c r="H874" s="74"/>
      <c r="I874" s="25"/>
      <c r="J874" s="25"/>
      <c r="K874" s="25"/>
      <c r="L874" s="25"/>
    </row>
    <row r="875" spans="2:12" x14ac:dyDescent="0.2">
      <c r="B875" s="25"/>
      <c r="C875" s="25"/>
      <c r="D875" s="25"/>
      <c r="E875" s="25"/>
      <c r="F875" s="25"/>
      <c r="G875" s="27"/>
      <c r="H875" s="74"/>
      <c r="I875" s="25"/>
      <c r="J875" s="25"/>
      <c r="K875" s="25"/>
      <c r="L875" s="25"/>
    </row>
    <row r="876" spans="2:12" x14ac:dyDescent="0.2">
      <c r="B876" s="25"/>
      <c r="C876" s="25"/>
      <c r="D876" s="25"/>
      <c r="E876" s="25"/>
      <c r="F876" s="25"/>
      <c r="G876" s="27"/>
      <c r="H876" s="74"/>
      <c r="I876" s="25"/>
      <c r="J876" s="25"/>
      <c r="K876" s="25"/>
      <c r="L876" s="25"/>
    </row>
    <row r="877" spans="2:12" x14ac:dyDescent="0.2">
      <c r="B877" s="25"/>
      <c r="C877" s="25"/>
      <c r="D877" s="25"/>
      <c r="E877" s="25"/>
      <c r="F877" s="25"/>
      <c r="G877" s="27"/>
      <c r="H877" s="74"/>
      <c r="I877" s="25"/>
      <c r="J877" s="25"/>
      <c r="K877" s="25"/>
      <c r="L877" s="25"/>
    </row>
    <row r="878" spans="2:12" x14ac:dyDescent="0.2">
      <c r="B878" s="25"/>
      <c r="C878" s="25"/>
      <c r="D878" s="25"/>
      <c r="E878" s="25"/>
      <c r="F878" s="25"/>
      <c r="G878" s="27"/>
      <c r="H878" s="74"/>
      <c r="I878" s="25"/>
      <c r="J878" s="25"/>
      <c r="K878" s="25"/>
      <c r="L878" s="25"/>
    </row>
    <row r="879" spans="2:12" x14ac:dyDescent="0.2">
      <c r="B879" s="25"/>
      <c r="C879" s="25"/>
      <c r="D879" s="25"/>
      <c r="E879" s="25"/>
      <c r="F879" s="25"/>
      <c r="G879" s="27"/>
      <c r="H879" s="74"/>
      <c r="I879" s="25"/>
      <c r="J879" s="25"/>
      <c r="K879" s="25"/>
      <c r="L879" s="25"/>
    </row>
    <row r="880" spans="2:12" x14ac:dyDescent="0.2">
      <c r="B880" s="25"/>
      <c r="C880" s="25"/>
      <c r="D880" s="25"/>
      <c r="E880" s="25"/>
      <c r="F880" s="25"/>
      <c r="G880" s="27"/>
      <c r="H880" s="74"/>
      <c r="I880" s="25"/>
      <c r="J880" s="25"/>
      <c r="K880" s="25"/>
      <c r="L880" s="25"/>
    </row>
    <row r="881" spans="2:12" x14ac:dyDescent="0.2">
      <c r="B881" s="25"/>
      <c r="C881" s="25"/>
      <c r="D881" s="25"/>
      <c r="E881" s="25"/>
      <c r="F881" s="25"/>
      <c r="G881" s="27"/>
      <c r="H881" s="74"/>
      <c r="I881" s="25"/>
      <c r="J881" s="25"/>
      <c r="K881" s="25"/>
      <c r="L881" s="25"/>
    </row>
    <row r="882" spans="2:12" x14ac:dyDescent="0.2">
      <c r="B882" s="25"/>
      <c r="C882" s="25"/>
      <c r="D882" s="25"/>
      <c r="E882" s="25"/>
      <c r="F882" s="25"/>
      <c r="G882" s="27"/>
      <c r="H882" s="74"/>
      <c r="I882" s="25"/>
      <c r="J882" s="25"/>
      <c r="K882" s="25"/>
      <c r="L882" s="25"/>
    </row>
    <row r="883" spans="2:12" x14ac:dyDescent="0.2">
      <c r="B883" s="25"/>
      <c r="C883" s="25"/>
      <c r="D883" s="25"/>
      <c r="E883" s="25"/>
      <c r="F883" s="25"/>
      <c r="G883" s="27"/>
      <c r="H883" s="74"/>
      <c r="I883" s="25"/>
      <c r="J883" s="25"/>
      <c r="K883" s="25"/>
      <c r="L883" s="25"/>
    </row>
    <row r="884" spans="2:12" x14ac:dyDescent="0.2">
      <c r="B884" s="25"/>
      <c r="C884" s="25"/>
      <c r="D884" s="25"/>
      <c r="E884" s="25"/>
      <c r="F884" s="25"/>
      <c r="G884" s="27"/>
      <c r="H884" s="74"/>
      <c r="I884" s="25"/>
      <c r="J884" s="25"/>
      <c r="K884" s="25"/>
      <c r="L884" s="25"/>
    </row>
    <row r="885" spans="2:12" x14ac:dyDescent="0.2">
      <c r="B885" s="25"/>
      <c r="C885" s="25"/>
      <c r="D885" s="25"/>
      <c r="E885" s="25"/>
      <c r="F885" s="25"/>
      <c r="G885" s="27"/>
      <c r="H885" s="74"/>
      <c r="I885" s="25"/>
      <c r="J885" s="25"/>
      <c r="K885" s="25"/>
      <c r="L885" s="25"/>
    </row>
    <row r="886" spans="2:12" x14ac:dyDescent="0.2">
      <c r="B886" s="25"/>
      <c r="C886" s="25"/>
      <c r="D886" s="25"/>
      <c r="E886" s="25"/>
      <c r="F886" s="25"/>
      <c r="G886" s="27"/>
      <c r="H886" s="74"/>
      <c r="I886" s="25"/>
      <c r="J886" s="25"/>
      <c r="K886" s="25"/>
      <c r="L886" s="25"/>
    </row>
    <row r="887" spans="2:12" x14ac:dyDescent="0.2">
      <c r="B887" s="25"/>
      <c r="C887" s="25"/>
      <c r="D887" s="25"/>
      <c r="E887" s="25"/>
      <c r="F887" s="25"/>
      <c r="G887" s="27"/>
      <c r="H887" s="74"/>
      <c r="I887" s="25"/>
      <c r="J887" s="25"/>
      <c r="K887" s="25"/>
      <c r="L887" s="25"/>
    </row>
    <row r="888" spans="2:12" x14ac:dyDescent="0.2">
      <c r="B888" s="25"/>
      <c r="C888" s="25"/>
      <c r="D888" s="25"/>
      <c r="E888" s="25"/>
      <c r="F888" s="25"/>
      <c r="G888" s="27"/>
      <c r="H888" s="74"/>
      <c r="I888" s="25"/>
      <c r="J888" s="25"/>
      <c r="K888" s="25"/>
      <c r="L888" s="25"/>
    </row>
    <row r="889" spans="2:12" x14ac:dyDescent="0.2">
      <c r="B889" s="25"/>
      <c r="C889" s="25"/>
      <c r="D889" s="25"/>
      <c r="E889" s="25"/>
      <c r="F889" s="25"/>
      <c r="G889" s="27"/>
      <c r="H889" s="74"/>
      <c r="I889" s="25"/>
      <c r="J889" s="25"/>
      <c r="K889" s="25"/>
      <c r="L889" s="25"/>
    </row>
    <row r="890" spans="2:12" x14ac:dyDescent="0.2">
      <c r="B890" s="25"/>
      <c r="C890" s="25"/>
      <c r="D890" s="25"/>
      <c r="E890" s="25"/>
      <c r="F890" s="25"/>
      <c r="G890" s="27"/>
      <c r="H890" s="74"/>
      <c r="I890" s="25"/>
      <c r="J890" s="25"/>
      <c r="K890" s="25"/>
      <c r="L890" s="25"/>
    </row>
    <row r="891" spans="2:12" x14ac:dyDescent="0.2">
      <c r="B891" s="25"/>
      <c r="C891" s="25"/>
      <c r="D891" s="25"/>
      <c r="E891" s="25"/>
      <c r="F891" s="25"/>
      <c r="G891" s="27"/>
      <c r="H891" s="74"/>
      <c r="I891" s="25"/>
      <c r="J891" s="25"/>
      <c r="K891" s="25"/>
      <c r="L891" s="25"/>
    </row>
    <row r="892" spans="2:12" x14ac:dyDescent="0.2">
      <c r="B892" s="25"/>
      <c r="C892" s="25"/>
      <c r="D892" s="25"/>
      <c r="E892" s="25"/>
      <c r="F892" s="25"/>
      <c r="G892" s="27"/>
      <c r="H892" s="74"/>
      <c r="I892" s="25"/>
      <c r="J892" s="25"/>
      <c r="K892" s="25"/>
      <c r="L892" s="25"/>
    </row>
    <row r="893" spans="2:12" x14ac:dyDescent="0.2">
      <c r="B893" s="25"/>
      <c r="C893" s="25"/>
      <c r="D893" s="25"/>
      <c r="E893" s="25"/>
      <c r="F893" s="25"/>
      <c r="G893" s="27"/>
      <c r="H893" s="74"/>
      <c r="I893" s="25"/>
      <c r="J893" s="25"/>
      <c r="K893" s="25"/>
      <c r="L893" s="25"/>
    </row>
    <row r="894" spans="2:12" x14ac:dyDescent="0.2">
      <c r="B894" s="25"/>
      <c r="C894" s="25"/>
      <c r="D894" s="25"/>
      <c r="E894" s="25"/>
      <c r="F894" s="25"/>
      <c r="G894" s="27"/>
      <c r="H894" s="74"/>
      <c r="I894" s="25"/>
      <c r="J894" s="25"/>
      <c r="K894" s="25"/>
      <c r="L894" s="25"/>
    </row>
    <row r="895" spans="2:12" x14ac:dyDescent="0.2">
      <c r="B895" s="25"/>
      <c r="C895" s="25"/>
      <c r="D895" s="25"/>
      <c r="E895" s="25"/>
      <c r="F895" s="25"/>
      <c r="G895" s="27"/>
      <c r="H895" s="74"/>
      <c r="I895" s="25"/>
      <c r="J895" s="25"/>
      <c r="K895" s="25"/>
      <c r="L895" s="25"/>
    </row>
    <row r="896" spans="2:12" x14ac:dyDescent="0.2">
      <c r="B896" s="25"/>
      <c r="C896" s="25"/>
      <c r="D896" s="25"/>
      <c r="E896" s="25"/>
      <c r="F896" s="25"/>
      <c r="G896" s="27"/>
      <c r="H896" s="74"/>
      <c r="I896" s="25"/>
      <c r="J896" s="25"/>
      <c r="K896" s="25"/>
      <c r="L896" s="25"/>
    </row>
    <row r="897" spans="2:12" x14ac:dyDescent="0.2">
      <c r="B897" s="25"/>
      <c r="C897" s="25"/>
      <c r="D897" s="25"/>
      <c r="E897" s="25"/>
      <c r="F897" s="25"/>
      <c r="G897" s="27"/>
      <c r="H897" s="74"/>
      <c r="I897" s="25"/>
      <c r="J897" s="25"/>
      <c r="K897" s="25"/>
      <c r="L897" s="25"/>
    </row>
    <row r="898" spans="2:12" x14ac:dyDescent="0.2">
      <c r="B898" s="25"/>
      <c r="C898" s="25"/>
      <c r="D898" s="25"/>
      <c r="E898" s="25"/>
      <c r="F898" s="25"/>
      <c r="G898" s="27"/>
      <c r="H898" s="74"/>
      <c r="I898" s="25"/>
      <c r="J898" s="25"/>
      <c r="K898" s="25"/>
      <c r="L898" s="25"/>
    </row>
    <row r="899" spans="2:12" x14ac:dyDescent="0.2">
      <c r="B899" s="25"/>
      <c r="C899" s="25"/>
      <c r="D899" s="25"/>
      <c r="E899" s="25"/>
      <c r="F899" s="25"/>
      <c r="G899" s="27"/>
      <c r="H899" s="74"/>
      <c r="I899" s="25"/>
      <c r="J899" s="25"/>
      <c r="K899" s="25"/>
      <c r="L899" s="25"/>
    </row>
    <row r="900" spans="2:12" x14ac:dyDescent="0.2">
      <c r="B900" s="25"/>
      <c r="C900" s="25"/>
      <c r="D900" s="25"/>
      <c r="E900" s="25"/>
      <c r="F900" s="25"/>
      <c r="G900" s="27"/>
      <c r="H900" s="74"/>
      <c r="I900" s="25"/>
      <c r="J900" s="25"/>
      <c r="K900" s="25"/>
      <c r="L900" s="25"/>
    </row>
    <row r="901" spans="2:12" x14ac:dyDescent="0.2">
      <c r="B901" s="25"/>
      <c r="C901" s="25"/>
      <c r="D901" s="25"/>
      <c r="E901" s="25"/>
      <c r="F901" s="25"/>
      <c r="G901" s="27"/>
      <c r="H901" s="74"/>
      <c r="I901" s="25"/>
      <c r="J901" s="25"/>
      <c r="K901" s="25"/>
      <c r="L901" s="25"/>
    </row>
    <row r="902" spans="2:12" x14ac:dyDescent="0.2">
      <c r="B902" s="25"/>
      <c r="C902" s="25"/>
      <c r="D902" s="25"/>
      <c r="E902" s="25"/>
      <c r="F902" s="25"/>
      <c r="G902" s="27"/>
      <c r="H902" s="74"/>
      <c r="I902" s="25"/>
      <c r="J902" s="25"/>
      <c r="K902" s="25"/>
      <c r="L902" s="25"/>
    </row>
    <row r="903" spans="2:12" x14ac:dyDescent="0.2">
      <c r="B903" s="25"/>
      <c r="C903" s="25"/>
      <c r="D903" s="25"/>
      <c r="E903" s="25"/>
      <c r="F903" s="25"/>
      <c r="G903" s="27"/>
      <c r="H903" s="74"/>
      <c r="I903" s="25"/>
      <c r="J903" s="25"/>
      <c r="K903" s="25"/>
      <c r="L903" s="25"/>
    </row>
    <row r="904" spans="2:12" x14ac:dyDescent="0.2">
      <c r="B904" s="25"/>
      <c r="C904" s="25"/>
      <c r="D904" s="25"/>
      <c r="E904" s="25"/>
      <c r="F904" s="25"/>
      <c r="G904" s="27"/>
      <c r="H904" s="74"/>
      <c r="I904" s="25"/>
      <c r="J904" s="25"/>
      <c r="K904" s="25"/>
      <c r="L904" s="25"/>
    </row>
    <row r="905" spans="2:12" x14ac:dyDescent="0.2">
      <c r="B905" s="25"/>
      <c r="C905" s="25"/>
      <c r="D905" s="25"/>
      <c r="E905" s="25"/>
      <c r="F905" s="25"/>
      <c r="G905" s="27"/>
      <c r="H905" s="74"/>
      <c r="I905" s="25"/>
      <c r="J905" s="25"/>
      <c r="K905" s="25"/>
      <c r="L905" s="25"/>
    </row>
    <row r="906" spans="2:12" x14ac:dyDescent="0.2">
      <c r="B906" s="25"/>
      <c r="C906" s="25"/>
      <c r="D906" s="25"/>
      <c r="E906" s="25"/>
      <c r="F906" s="25"/>
      <c r="G906" s="27"/>
      <c r="H906" s="74"/>
      <c r="I906" s="25"/>
      <c r="J906" s="25"/>
      <c r="K906" s="25"/>
      <c r="L906" s="25"/>
    </row>
    <row r="907" spans="2:12" x14ac:dyDescent="0.2">
      <c r="B907" s="25"/>
      <c r="C907" s="25"/>
      <c r="D907" s="25"/>
      <c r="E907" s="25"/>
      <c r="F907" s="25"/>
      <c r="G907" s="27"/>
      <c r="H907" s="74"/>
      <c r="I907" s="25"/>
      <c r="J907" s="25"/>
      <c r="K907" s="25"/>
      <c r="L907" s="25"/>
    </row>
    <row r="908" spans="2:12" x14ac:dyDescent="0.2">
      <c r="B908" s="25"/>
      <c r="C908" s="25"/>
      <c r="D908" s="25"/>
      <c r="E908" s="25"/>
      <c r="F908" s="25"/>
      <c r="G908" s="27"/>
      <c r="H908" s="74"/>
      <c r="I908" s="25"/>
      <c r="J908" s="25"/>
      <c r="K908" s="25"/>
      <c r="L908" s="25"/>
    </row>
    <row r="909" spans="2:12" x14ac:dyDescent="0.2">
      <c r="B909" s="25"/>
      <c r="C909" s="25"/>
      <c r="D909" s="25"/>
      <c r="E909" s="25"/>
      <c r="F909" s="25"/>
      <c r="G909" s="27"/>
      <c r="H909" s="74"/>
      <c r="I909" s="25"/>
      <c r="J909" s="25"/>
      <c r="K909" s="25"/>
      <c r="L909" s="25"/>
    </row>
    <row r="910" spans="2:12" x14ac:dyDescent="0.2">
      <c r="B910" s="25"/>
      <c r="C910" s="25"/>
      <c r="D910" s="25"/>
      <c r="E910" s="25"/>
      <c r="F910" s="25"/>
      <c r="G910" s="27"/>
      <c r="H910" s="74"/>
      <c r="I910" s="25"/>
      <c r="J910" s="25"/>
      <c r="K910" s="25"/>
      <c r="L910" s="25"/>
    </row>
    <row r="911" spans="2:12" x14ac:dyDescent="0.2">
      <c r="B911" s="25"/>
      <c r="C911" s="25"/>
      <c r="D911" s="25"/>
      <c r="E911" s="25"/>
      <c r="F911" s="25"/>
      <c r="G911" s="27"/>
      <c r="H911" s="74"/>
      <c r="I911" s="25"/>
      <c r="J911" s="25"/>
      <c r="K911" s="25"/>
      <c r="L911" s="25"/>
    </row>
    <row r="912" spans="2:12" x14ac:dyDescent="0.2">
      <c r="B912" s="25"/>
      <c r="C912" s="25"/>
      <c r="D912" s="25"/>
      <c r="E912" s="25"/>
      <c r="F912" s="25"/>
      <c r="G912" s="27"/>
      <c r="H912" s="74"/>
      <c r="I912" s="25"/>
      <c r="J912" s="25"/>
      <c r="K912" s="25"/>
      <c r="L912" s="25"/>
    </row>
    <row r="913" spans="2:12" x14ac:dyDescent="0.2">
      <c r="B913" s="25"/>
      <c r="C913" s="25"/>
      <c r="D913" s="25"/>
      <c r="E913" s="25"/>
      <c r="F913" s="25"/>
      <c r="G913" s="27"/>
      <c r="H913" s="74"/>
      <c r="I913" s="25"/>
      <c r="J913" s="25"/>
      <c r="K913" s="25"/>
      <c r="L913" s="25"/>
    </row>
    <row r="914" spans="2:12" x14ac:dyDescent="0.2">
      <c r="B914" s="25"/>
      <c r="C914" s="25"/>
      <c r="D914" s="25"/>
      <c r="E914" s="25"/>
      <c r="F914" s="25"/>
      <c r="G914" s="27"/>
      <c r="H914" s="74"/>
      <c r="I914" s="25"/>
      <c r="J914" s="25"/>
      <c r="K914" s="25"/>
      <c r="L914" s="25"/>
    </row>
    <row r="915" spans="2:12" x14ac:dyDescent="0.2">
      <c r="B915" s="25"/>
      <c r="C915" s="25"/>
      <c r="D915" s="25"/>
      <c r="E915" s="25"/>
      <c r="F915" s="25"/>
      <c r="G915" s="27"/>
      <c r="H915" s="74"/>
      <c r="I915" s="25"/>
      <c r="J915" s="25"/>
      <c r="K915" s="25"/>
      <c r="L915" s="25"/>
    </row>
    <row r="916" spans="2:12" x14ac:dyDescent="0.2">
      <c r="B916" s="25"/>
      <c r="C916" s="25"/>
      <c r="D916" s="25"/>
      <c r="E916" s="25"/>
      <c r="F916" s="25"/>
      <c r="G916" s="27"/>
      <c r="H916" s="74"/>
      <c r="I916" s="25"/>
      <c r="J916" s="25"/>
      <c r="K916" s="25"/>
      <c r="L916" s="25"/>
    </row>
    <row r="917" spans="2:12" x14ac:dyDescent="0.2">
      <c r="B917" s="25"/>
      <c r="C917" s="25"/>
      <c r="D917" s="25"/>
      <c r="E917" s="25"/>
      <c r="F917" s="25"/>
      <c r="G917" s="27"/>
      <c r="H917" s="74"/>
      <c r="I917" s="25"/>
      <c r="J917" s="25"/>
      <c r="K917" s="25"/>
      <c r="L917" s="25"/>
    </row>
    <row r="918" spans="2:12" x14ac:dyDescent="0.2">
      <c r="B918" s="25"/>
      <c r="C918" s="25"/>
      <c r="D918" s="25"/>
      <c r="E918" s="25"/>
      <c r="F918" s="25"/>
      <c r="G918" s="27"/>
      <c r="H918" s="74"/>
      <c r="I918" s="25"/>
      <c r="J918" s="25"/>
      <c r="K918" s="25"/>
      <c r="L918" s="25"/>
    </row>
    <row r="919" spans="2:12" x14ac:dyDescent="0.2">
      <c r="B919" s="25"/>
      <c r="C919" s="25"/>
      <c r="D919" s="25"/>
      <c r="E919" s="25"/>
      <c r="F919" s="25"/>
      <c r="G919" s="27"/>
      <c r="H919" s="74"/>
      <c r="I919" s="25"/>
      <c r="J919" s="25"/>
      <c r="K919" s="25"/>
      <c r="L919" s="25"/>
    </row>
    <row r="920" spans="2:12" x14ac:dyDescent="0.2">
      <c r="B920" s="25"/>
      <c r="C920" s="25"/>
      <c r="D920" s="25"/>
      <c r="E920" s="25"/>
      <c r="F920" s="25"/>
      <c r="G920" s="27"/>
      <c r="H920" s="74"/>
      <c r="I920" s="25"/>
      <c r="J920" s="25"/>
      <c r="K920" s="25"/>
      <c r="L920" s="25"/>
    </row>
    <row r="921" spans="2:12" x14ac:dyDescent="0.2">
      <c r="B921" s="25"/>
      <c r="C921" s="25"/>
      <c r="D921" s="25"/>
      <c r="E921" s="25"/>
      <c r="F921" s="25"/>
      <c r="G921" s="27"/>
      <c r="H921" s="74"/>
      <c r="I921" s="25"/>
      <c r="J921" s="25"/>
      <c r="K921" s="25"/>
      <c r="L921" s="25"/>
    </row>
    <row r="922" spans="2:12" x14ac:dyDescent="0.2">
      <c r="B922" s="25"/>
      <c r="C922" s="25"/>
      <c r="D922" s="25"/>
      <c r="E922" s="25"/>
      <c r="F922" s="25"/>
      <c r="G922" s="27"/>
      <c r="H922" s="74"/>
      <c r="I922" s="25"/>
      <c r="J922" s="25"/>
      <c r="K922" s="25"/>
      <c r="L922" s="25"/>
    </row>
    <row r="923" spans="2:12" x14ac:dyDescent="0.2">
      <c r="B923" s="25"/>
      <c r="C923" s="25"/>
      <c r="D923" s="25"/>
      <c r="E923" s="25"/>
      <c r="F923" s="25"/>
      <c r="G923" s="27"/>
      <c r="H923" s="74"/>
      <c r="I923" s="25"/>
      <c r="J923" s="25"/>
      <c r="K923" s="25"/>
      <c r="L923" s="25"/>
    </row>
    <row r="924" spans="2:12" x14ac:dyDescent="0.2">
      <c r="B924" s="25"/>
      <c r="C924" s="25"/>
      <c r="D924" s="25"/>
      <c r="E924" s="25"/>
      <c r="F924" s="25"/>
      <c r="G924" s="27"/>
      <c r="H924" s="74"/>
      <c r="I924" s="25"/>
      <c r="J924" s="25"/>
      <c r="K924" s="25"/>
      <c r="L924" s="25"/>
    </row>
    <row r="925" spans="2:12" x14ac:dyDescent="0.2">
      <c r="B925" s="25"/>
      <c r="C925" s="25"/>
      <c r="D925" s="25"/>
      <c r="E925" s="25"/>
      <c r="F925" s="25"/>
      <c r="G925" s="27"/>
      <c r="H925" s="74"/>
      <c r="I925" s="25"/>
      <c r="J925" s="25"/>
      <c r="K925" s="25"/>
      <c r="L925" s="25"/>
    </row>
    <row r="926" spans="2:12" x14ac:dyDescent="0.2">
      <c r="B926" s="25"/>
      <c r="C926" s="25"/>
      <c r="D926" s="25"/>
      <c r="E926" s="25"/>
      <c r="F926" s="25"/>
      <c r="G926" s="27"/>
      <c r="H926" s="74"/>
      <c r="I926" s="25"/>
      <c r="J926" s="25"/>
      <c r="K926" s="25"/>
      <c r="L926" s="25"/>
    </row>
    <row r="927" spans="2:12" x14ac:dyDescent="0.2">
      <c r="B927" s="25"/>
      <c r="C927" s="25"/>
      <c r="D927" s="25"/>
      <c r="E927" s="25"/>
      <c r="F927" s="25"/>
      <c r="G927" s="27"/>
      <c r="H927" s="74"/>
      <c r="I927" s="25"/>
      <c r="J927" s="25"/>
      <c r="K927" s="25"/>
      <c r="L927" s="25"/>
    </row>
    <row r="928" spans="2:12" x14ac:dyDescent="0.2">
      <c r="B928" s="25"/>
      <c r="C928" s="25"/>
      <c r="D928" s="25"/>
      <c r="E928" s="25"/>
      <c r="F928" s="25"/>
      <c r="G928" s="27"/>
      <c r="H928" s="74"/>
      <c r="I928" s="25"/>
      <c r="J928" s="25"/>
      <c r="K928" s="25"/>
      <c r="L928" s="25"/>
    </row>
    <row r="929" spans="2:12" x14ac:dyDescent="0.2">
      <c r="B929" s="25"/>
      <c r="C929" s="25"/>
      <c r="D929" s="25"/>
      <c r="E929" s="25"/>
      <c r="F929" s="25"/>
      <c r="G929" s="27"/>
      <c r="H929" s="74"/>
      <c r="I929" s="25"/>
      <c r="J929" s="25"/>
      <c r="K929" s="25"/>
      <c r="L929" s="25"/>
    </row>
    <row r="930" spans="2:12" x14ac:dyDescent="0.2">
      <c r="B930" s="25"/>
      <c r="C930" s="25"/>
      <c r="D930" s="25"/>
      <c r="E930" s="25"/>
      <c r="F930" s="25"/>
      <c r="G930" s="27"/>
      <c r="H930" s="74"/>
      <c r="I930" s="25"/>
      <c r="J930" s="25"/>
      <c r="K930" s="25"/>
      <c r="L930" s="25"/>
    </row>
    <row r="931" spans="2:12" x14ac:dyDescent="0.2">
      <c r="B931" s="25"/>
      <c r="C931" s="25"/>
      <c r="D931" s="25"/>
      <c r="E931" s="25"/>
      <c r="F931" s="25"/>
      <c r="G931" s="27"/>
      <c r="H931" s="74"/>
      <c r="I931" s="25"/>
      <c r="J931" s="25"/>
      <c r="K931" s="25"/>
      <c r="L931" s="25"/>
    </row>
    <row r="932" spans="2:12" x14ac:dyDescent="0.2">
      <c r="B932" s="25"/>
      <c r="C932" s="25"/>
      <c r="D932" s="25"/>
      <c r="E932" s="25"/>
      <c r="F932" s="25"/>
      <c r="G932" s="27"/>
      <c r="H932" s="74"/>
      <c r="I932" s="25"/>
      <c r="J932" s="25"/>
      <c r="K932" s="25"/>
      <c r="L932" s="25"/>
    </row>
    <row r="933" spans="2:12" x14ac:dyDescent="0.2">
      <c r="B933" s="25"/>
      <c r="C933" s="25"/>
      <c r="D933" s="25"/>
      <c r="E933" s="25"/>
      <c r="F933" s="25"/>
      <c r="G933" s="27"/>
      <c r="H933" s="74"/>
      <c r="I933" s="25"/>
      <c r="J933" s="25"/>
      <c r="K933" s="25"/>
      <c r="L933" s="25"/>
    </row>
    <row r="934" spans="2:12" x14ac:dyDescent="0.2">
      <c r="B934" s="25"/>
      <c r="C934" s="25"/>
      <c r="D934" s="25"/>
      <c r="E934" s="25"/>
      <c r="F934" s="25"/>
      <c r="G934" s="27"/>
      <c r="H934" s="74"/>
      <c r="I934" s="25"/>
      <c r="J934" s="25"/>
      <c r="K934" s="25"/>
      <c r="L934" s="25"/>
    </row>
    <row r="935" spans="2:12" x14ac:dyDescent="0.2">
      <c r="B935" s="25"/>
      <c r="C935" s="25"/>
      <c r="D935" s="25"/>
      <c r="E935" s="25"/>
      <c r="F935" s="25"/>
      <c r="G935" s="27"/>
      <c r="H935" s="74"/>
      <c r="I935" s="25"/>
      <c r="J935" s="25"/>
      <c r="K935" s="25"/>
      <c r="L935" s="25"/>
    </row>
    <row r="936" spans="2:12" x14ac:dyDescent="0.2">
      <c r="B936" s="25"/>
      <c r="C936" s="25"/>
      <c r="D936" s="25"/>
      <c r="E936" s="25"/>
      <c r="F936" s="25"/>
      <c r="G936" s="27"/>
      <c r="H936" s="74"/>
      <c r="I936" s="25"/>
      <c r="J936" s="25"/>
      <c r="K936" s="25"/>
      <c r="L936" s="25"/>
    </row>
    <row r="937" spans="2:12" x14ac:dyDescent="0.2">
      <c r="B937" s="25"/>
      <c r="C937" s="25"/>
      <c r="D937" s="25"/>
      <c r="E937" s="25"/>
      <c r="F937" s="25"/>
      <c r="G937" s="27"/>
      <c r="H937" s="74"/>
      <c r="I937" s="25"/>
      <c r="J937" s="25"/>
      <c r="K937" s="25"/>
      <c r="L937" s="25"/>
    </row>
    <row r="938" spans="2:12" x14ac:dyDescent="0.2">
      <c r="B938" s="25"/>
      <c r="C938" s="25"/>
      <c r="D938" s="25"/>
      <c r="E938" s="25"/>
      <c r="F938" s="25"/>
      <c r="G938" s="27"/>
      <c r="H938" s="74"/>
      <c r="I938" s="25"/>
      <c r="J938" s="25"/>
      <c r="K938" s="25"/>
      <c r="L938" s="25"/>
    </row>
    <row r="939" spans="2:12" x14ac:dyDescent="0.2">
      <c r="B939" s="25"/>
      <c r="C939" s="25"/>
      <c r="D939" s="25"/>
      <c r="E939" s="25"/>
      <c r="F939" s="25"/>
      <c r="G939" s="27"/>
      <c r="H939" s="74"/>
      <c r="I939" s="25"/>
      <c r="J939" s="25"/>
      <c r="K939" s="25"/>
      <c r="L939" s="25"/>
    </row>
    <row r="940" spans="2:12" x14ac:dyDescent="0.2">
      <c r="B940" s="25"/>
      <c r="C940" s="25"/>
      <c r="D940" s="25"/>
      <c r="E940" s="25"/>
      <c r="F940" s="25"/>
      <c r="G940" s="27"/>
      <c r="H940" s="74"/>
      <c r="I940" s="25"/>
      <c r="J940" s="25"/>
      <c r="K940" s="25"/>
      <c r="L940" s="25"/>
    </row>
    <row r="941" spans="2:12" x14ac:dyDescent="0.2">
      <c r="B941" s="25"/>
      <c r="C941" s="25"/>
      <c r="D941" s="25"/>
      <c r="E941" s="25"/>
      <c r="F941" s="25"/>
      <c r="G941" s="27"/>
      <c r="H941" s="74"/>
      <c r="I941" s="25"/>
      <c r="J941" s="25"/>
      <c r="K941" s="25"/>
      <c r="L941" s="25"/>
    </row>
    <row r="942" spans="2:12" x14ac:dyDescent="0.2">
      <c r="B942" s="25"/>
      <c r="C942" s="25"/>
      <c r="D942" s="25"/>
      <c r="E942" s="25"/>
      <c r="F942" s="25"/>
      <c r="G942" s="27"/>
      <c r="H942" s="74"/>
      <c r="I942" s="25"/>
      <c r="J942" s="25"/>
      <c r="K942" s="25"/>
      <c r="L942" s="25"/>
    </row>
    <row r="943" spans="2:12" x14ac:dyDescent="0.2">
      <c r="B943" s="25"/>
      <c r="C943" s="25"/>
      <c r="D943" s="25"/>
      <c r="E943" s="25"/>
      <c r="F943" s="25"/>
      <c r="G943" s="27"/>
      <c r="H943" s="74"/>
      <c r="I943" s="25"/>
      <c r="J943" s="25"/>
      <c r="K943" s="25"/>
      <c r="L943" s="25"/>
    </row>
    <row r="944" spans="2:12" x14ac:dyDescent="0.2">
      <c r="B944" s="25"/>
      <c r="C944" s="25"/>
      <c r="D944" s="25"/>
      <c r="E944" s="25"/>
      <c r="F944" s="25"/>
      <c r="G944" s="27"/>
      <c r="H944" s="74"/>
      <c r="I944" s="25"/>
      <c r="J944" s="25"/>
      <c r="K944" s="25"/>
      <c r="L944" s="25"/>
    </row>
    <row r="945" spans="2:12" x14ac:dyDescent="0.2">
      <c r="B945" s="25"/>
      <c r="C945" s="25"/>
      <c r="D945" s="25"/>
      <c r="E945" s="25"/>
      <c r="F945" s="25"/>
      <c r="G945" s="27"/>
      <c r="H945" s="74"/>
      <c r="I945" s="25"/>
      <c r="J945" s="25"/>
      <c r="K945" s="25"/>
      <c r="L945" s="25"/>
    </row>
    <row r="946" spans="2:12" x14ac:dyDescent="0.2">
      <c r="B946" s="25"/>
      <c r="C946" s="25"/>
      <c r="D946" s="25"/>
      <c r="E946" s="25"/>
      <c r="F946" s="25"/>
      <c r="G946" s="27"/>
      <c r="H946" s="74"/>
      <c r="I946" s="25"/>
      <c r="J946" s="25"/>
      <c r="K946" s="25"/>
      <c r="L946" s="25"/>
    </row>
    <row r="947" spans="2:12" x14ac:dyDescent="0.2">
      <c r="B947" s="25"/>
      <c r="C947" s="25"/>
      <c r="D947" s="25"/>
      <c r="E947" s="25"/>
      <c r="F947" s="25"/>
      <c r="G947" s="27"/>
      <c r="H947" s="74"/>
      <c r="I947" s="25"/>
      <c r="J947" s="25"/>
      <c r="K947" s="25"/>
      <c r="L947" s="25"/>
    </row>
    <row r="948" spans="2:12" x14ac:dyDescent="0.2">
      <c r="B948" s="25"/>
      <c r="C948" s="25"/>
      <c r="D948" s="25"/>
      <c r="E948" s="25"/>
      <c r="F948" s="25"/>
      <c r="G948" s="27"/>
      <c r="H948" s="74"/>
      <c r="I948" s="25"/>
      <c r="J948" s="25"/>
      <c r="K948" s="25"/>
      <c r="L948" s="25"/>
    </row>
    <row r="949" spans="2:12" x14ac:dyDescent="0.2">
      <c r="B949" s="25"/>
      <c r="C949" s="25"/>
      <c r="D949" s="25"/>
      <c r="E949" s="25"/>
      <c r="F949" s="25"/>
      <c r="G949" s="27"/>
      <c r="H949" s="74"/>
      <c r="I949" s="25"/>
      <c r="J949" s="25"/>
      <c r="K949" s="25"/>
      <c r="L949" s="25"/>
    </row>
    <row r="950" spans="2:12" x14ac:dyDescent="0.2">
      <c r="B950" s="25"/>
      <c r="C950" s="25"/>
      <c r="D950" s="25"/>
      <c r="E950" s="25"/>
      <c r="F950" s="25"/>
      <c r="G950" s="27"/>
      <c r="H950" s="74"/>
      <c r="I950" s="25"/>
      <c r="J950" s="25"/>
      <c r="K950" s="25"/>
      <c r="L950" s="25"/>
    </row>
    <row r="951" spans="2:12" x14ac:dyDescent="0.2">
      <c r="B951" s="25"/>
      <c r="C951" s="25"/>
      <c r="D951" s="25"/>
      <c r="E951" s="25"/>
      <c r="F951" s="25"/>
      <c r="G951" s="27"/>
      <c r="H951" s="74"/>
      <c r="I951" s="25"/>
      <c r="J951" s="25"/>
      <c r="K951" s="25"/>
      <c r="L951" s="25"/>
    </row>
    <row r="952" spans="2:12" x14ac:dyDescent="0.2">
      <c r="B952" s="25"/>
      <c r="C952" s="25"/>
      <c r="D952" s="25"/>
      <c r="E952" s="25"/>
      <c r="F952" s="25"/>
      <c r="G952" s="27"/>
      <c r="H952" s="74"/>
      <c r="I952" s="25"/>
      <c r="J952" s="25"/>
      <c r="K952" s="25"/>
      <c r="L952" s="25"/>
    </row>
    <row r="953" spans="2:12" x14ac:dyDescent="0.2">
      <c r="B953" s="25"/>
      <c r="C953" s="25"/>
      <c r="D953" s="25"/>
      <c r="E953" s="25"/>
      <c r="F953" s="25"/>
      <c r="G953" s="27"/>
      <c r="H953" s="74"/>
      <c r="I953" s="25"/>
      <c r="J953" s="25"/>
      <c r="K953" s="25"/>
      <c r="L953" s="25"/>
    </row>
    <row r="954" spans="2:12" x14ac:dyDescent="0.2">
      <c r="B954" s="25"/>
      <c r="C954" s="25"/>
      <c r="D954" s="25"/>
      <c r="E954" s="25"/>
      <c r="F954" s="25"/>
      <c r="G954" s="27"/>
      <c r="H954" s="74"/>
      <c r="I954" s="25"/>
      <c r="J954" s="25"/>
      <c r="K954" s="25"/>
      <c r="L954" s="25"/>
    </row>
    <row r="955" spans="2:12" x14ac:dyDescent="0.2">
      <c r="B955" s="25"/>
      <c r="C955" s="25"/>
      <c r="D955" s="25"/>
      <c r="E955" s="25"/>
      <c r="F955" s="25"/>
      <c r="G955" s="27"/>
      <c r="H955" s="74"/>
      <c r="I955" s="25"/>
      <c r="J955" s="25"/>
      <c r="K955" s="25"/>
      <c r="L955" s="25"/>
    </row>
    <row r="956" spans="2:12" x14ac:dyDescent="0.2">
      <c r="B956" s="25"/>
      <c r="C956" s="25"/>
      <c r="D956" s="25"/>
      <c r="E956" s="25"/>
      <c r="F956" s="25"/>
      <c r="G956" s="27"/>
      <c r="H956" s="74"/>
      <c r="I956" s="25"/>
      <c r="J956" s="25"/>
      <c r="K956" s="25"/>
      <c r="L956" s="25"/>
    </row>
    <row r="957" spans="2:12" x14ac:dyDescent="0.2">
      <c r="B957" s="25"/>
      <c r="C957" s="25"/>
      <c r="D957" s="25"/>
      <c r="E957" s="25"/>
      <c r="F957" s="25"/>
      <c r="G957" s="27"/>
      <c r="H957" s="74"/>
      <c r="I957" s="25"/>
      <c r="J957" s="25"/>
      <c r="K957" s="25"/>
      <c r="L957" s="25"/>
    </row>
    <row r="958" spans="2:12" x14ac:dyDescent="0.2">
      <c r="B958" s="25"/>
      <c r="C958" s="25"/>
      <c r="D958" s="25"/>
      <c r="E958" s="25"/>
      <c r="F958" s="25"/>
      <c r="G958" s="27"/>
      <c r="H958" s="74"/>
      <c r="I958" s="25"/>
      <c r="J958" s="25"/>
      <c r="K958" s="25"/>
      <c r="L958" s="25"/>
    </row>
    <row r="959" spans="2:12" x14ac:dyDescent="0.2">
      <c r="B959" s="25"/>
      <c r="C959" s="25"/>
      <c r="D959" s="25"/>
      <c r="E959" s="25"/>
      <c r="F959" s="25"/>
      <c r="G959" s="27"/>
      <c r="H959" s="74"/>
      <c r="I959" s="25"/>
      <c r="J959" s="25"/>
      <c r="K959" s="25"/>
      <c r="L959" s="25"/>
    </row>
    <row r="960" spans="2:12" x14ac:dyDescent="0.2">
      <c r="B960" s="25"/>
      <c r="C960" s="25"/>
      <c r="D960" s="25"/>
      <c r="E960" s="25"/>
      <c r="F960" s="25"/>
      <c r="G960" s="27"/>
      <c r="H960" s="74"/>
      <c r="I960" s="25"/>
      <c r="J960" s="25"/>
      <c r="K960" s="25"/>
      <c r="L960" s="25"/>
    </row>
    <row r="961" spans="2:12" x14ac:dyDescent="0.2">
      <c r="B961" s="25"/>
      <c r="C961" s="25"/>
      <c r="D961" s="25"/>
      <c r="E961" s="25"/>
      <c r="F961" s="25"/>
      <c r="G961" s="27"/>
      <c r="H961" s="74"/>
      <c r="I961" s="25"/>
      <c r="J961" s="25"/>
      <c r="K961" s="25"/>
      <c r="L961" s="25"/>
    </row>
    <row r="962" spans="2:12" x14ac:dyDescent="0.2">
      <c r="B962" s="25"/>
      <c r="C962" s="25"/>
      <c r="D962" s="25"/>
      <c r="E962" s="25"/>
      <c r="F962" s="25"/>
      <c r="G962" s="27"/>
      <c r="H962" s="74"/>
      <c r="I962" s="25"/>
      <c r="J962" s="25"/>
      <c r="K962" s="25"/>
      <c r="L962" s="25"/>
    </row>
    <row r="963" spans="2:12" x14ac:dyDescent="0.2">
      <c r="B963" s="25"/>
      <c r="C963" s="25"/>
      <c r="D963" s="25"/>
      <c r="E963" s="25"/>
      <c r="F963" s="25"/>
      <c r="G963" s="27"/>
      <c r="H963" s="74"/>
      <c r="I963" s="25"/>
      <c r="J963" s="25"/>
      <c r="K963" s="25"/>
      <c r="L963" s="25"/>
    </row>
    <row r="964" spans="2:12" x14ac:dyDescent="0.2">
      <c r="B964" s="25"/>
      <c r="C964" s="25"/>
      <c r="D964" s="25"/>
      <c r="E964" s="25"/>
      <c r="F964" s="25"/>
      <c r="G964" s="27"/>
      <c r="H964" s="74"/>
      <c r="I964" s="25"/>
      <c r="J964" s="25"/>
      <c r="K964" s="25"/>
      <c r="L964" s="25"/>
    </row>
    <row r="965" spans="2:12" x14ac:dyDescent="0.2">
      <c r="B965" s="25"/>
      <c r="C965" s="25"/>
      <c r="D965" s="25"/>
      <c r="E965" s="25"/>
      <c r="F965" s="25"/>
      <c r="G965" s="27"/>
      <c r="H965" s="74"/>
      <c r="I965" s="25"/>
      <c r="J965" s="25"/>
      <c r="K965" s="25"/>
      <c r="L965" s="25"/>
    </row>
    <row r="966" spans="2:12" x14ac:dyDescent="0.2">
      <c r="B966" s="25"/>
      <c r="C966" s="25"/>
      <c r="D966" s="25"/>
      <c r="E966" s="25"/>
      <c r="F966" s="25"/>
      <c r="G966" s="27"/>
      <c r="H966" s="74"/>
      <c r="I966" s="25"/>
      <c r="J966" s="25"/>
      <c r="K966" s="25"/>
      <c r="L966" s="25"/>
    </row>
    <row r="967" spans="2:12" x14ac:dyDescent="0.2">
      <c r="B967" s="25"/>
      <c r="C967" s="25"/>
      <c r="D967" s="25"/>
      <c r="E967" s="25"/>
      <c r="F967" s="25"/>
      <c r="G967" s="27"/>
      <c r="H967" s="74"/>
      <c r="I967" s="25"/>
      <c r="J967" s="25"/>
      <c r="K967" s="25"/>
      <c r="L967" s="25"/>
    </row>
    <row r="968" spans="2:12" x14ac:dyDescent="0.2">
      <c r="B968" s="25"/>
      <c r="C968" s="25"/>
      <c r="D968" s="25"/>
      <c r="E968" s="25"/>
      <c r="F968" s="25"/>
      <c r="G968" s="27"/>
      <c r="H968" s="74"/>
      <c r="I968" s="25"/>
      <c r="J968" s="25"/>
      <c r="K968" s="25"/>
      <c r="L968" s="25"/>
    </row>
    <row r="969" spans="2:12" x14ac:dyDescent="0.2">
      <c r="B969" s="25"/>
      <c r="C969" s="25"/>
      <c r="D969" s="25"/>
      <c r="E969" s="25"/>
      <c r="F969" s="25"/>
      <c r="G969" s="27"/>
      <c r="H969" s="74"/>
      <c r="I969" s="25"/>
      <c r="J969" s="25"/>
      <c r="K969" s="25"/>
      <c r="L969" s="25"/>
    </row>
    <row r="970" spans="2:12" x14ac:dyDescent="0.2">
      <c r="B970" s="25"/>
      <c r="C970" s="25"/>
      <c r="D970" s="25"/>
      <c r="E970" s="25"/>
      <c r="F970" s="25"/>
      <c r="G970" s="27"/>
      <c r="H970" s="74"/>
      <c r="I970" s="25"/>
      <c r="J970" s="25"/>
      <c r="K970" s="25"/>
      <c r="L970" s="25"/>
    </row>
    <row r="971" spans="2:12" x14ac:dyDescent="0.2">
      <c r="B971" s="25"/>
      <c r="C971" s="25"/>
      <c r="D971" s="25"/>
      <c r="E971" s="25"/>
      <c r="F971" s="25"/>
      <c r="G971" s="27"/>
      <c r="H971" s="74"/>
      <c r="I971" s="25"/>
      <c r="J971" s="25"/>
      <c r="K971" s="25"/>
      <c r="L971" s="25"/>
    </row>
    <row r="972" spans="2:12" x14ac:dyDescent="0.2">
      <c r="B972" s="25"/>
      <c r="C972" s="25"/>
      <c r="D972" s="25"/>
      <c r="E972" s="25"/>
      <c r="F972" s="25"/>
      <c r="G972" s="27"/>
      <c r="H972" s="74"/>
      <c r="I972" s="25"/>
      <c r="J972" s="25"/>
      <c r="K972" s="25"/>
      <c r="L972" s="25"/>
    </row>
    <row r="973" spans="2:12" x14ac:dyDescent="0.2">
      <c r="B973" s="25"/>
      <c r="C973" s="25"/>
      <c r="D973" s="25"/>
      <c r="E973" s="25"/>
      <c r="F973" s="25"/>
      <c r="G973" s="27"/>
      <c r="H973" s="74"/>
      <c r="I973" s="25"/>
      <c r="J973" s="25"/>
      <c r="K973" s="25"/>
      <c r="L973" s="25"/>
    </row>
    <row r="974" spans="2:12" x14ac:dyDescent="0.2">
      <c r="B974" s="25"/>
      <c r="C974" s="25"/>
      <c r="D974" s="25"/>
      <c r="E974" s="25"/>
      <c r="F974" s="25"/>
      <c r="G974" s="27"/>
      <c r="H974" s="74"/>
      <c r="I974" s="25"/>
      <c r="J974" s="25"/>
      <c r="K974" s="25"/>
      <c r="L974" s="25"/>
    </row>
    <row r="975" spans="2:12" x14ac:dyDescent="0.2">
      <c r="B975" s="25"/>
      <c r="C975" s="25"/>
      <c r="D975" s="25"/>
      <c r="E975" s="25"/>
      <c r="F975" s="25"/>
      <c r="G975" s="27"/>
      <c r="H975" s="74"/>
      <c r="I975" s="25"/>
      <c r="J975" s="25"/>
      <c r="K975" s="25"/>
      <c r="L975" s="25"/>
    </row>
    <row r="976" spans="2:12" x14ac:dyDescent="0.2">
      <c r="B976" s="25"/>
      <c r="C976" s="25"/>
      <c r="D976" s="25"/>
      <c r="E976" s="25"/>
      <c r="F976" s="25"/>
      <c r="G976" s="27"/>
      <c r="H976" s="74"/>
      <c r="I976" s="25"/>
      <c r="J976" s="25"/>
      <c r="K976" s="25"/>
      <c r="L976" s="25"/>
    </row>
    <row r="977" spans="2:12" x14ac:dyDescent="0.2">
      <c r="B977" s="25"/>
      <c r="C977" s="25"/>
      <c r="D977" s="25"/>
      <c r="E977" s="25"/>
      <c r="F977" s="25"/>
      <c r="G977" s="27"/>
      <c r="H977" s="74"/>
      <c r="I977" s="25"/>
      <c r="J977" s="25"/>
      <c r="K977" s="25"/>
      <c r="L977" s="25"/>
    </row>
    <row r="978" spans="2:12" x14ac:dyDescent="0.2">
      <c r="B978" s="25"/>
      <c r="C978" s="25"/>
      <c r="D978" s="25"/>
      <c r="E978" s="25"/>
      <c r="F978" s="25"/>
      <c r="G978" s="27"/>
      <c r="H978" s="74"/>
      <c r="I978" s="25"/>
      <c r="J978" s="25"/>
      <c r="K978" s="25"/>
      <c r="L978" s="25"/>
    </row>
    <row r="979" spans="2:12" x14ac:dyDescent="0.2">
      <c r="B979" s="25"/>
      <c r="C979" s="25"/>
      <c r="D979" s="25"/>
      <c r="E979" s="25"/>
      <c r="F979" s="25"/>
      <c r="G979" s="27"/>
      <c r="H979" s="74"/>
      <c r="I979" s="25"/>
      <c r="J979" s="25"/>
      <c r="K979" s="25"/>
      <c r="L979" s="25"/>
    </row>
    <row r="980" spans="2:12" x14ac:dyDescent="0.2">
      <c r="B980" s="25"/>
      <c r="C980" s="25"/>
      <c r="D980" s="25"/>
      <c r="E980" s="25"/>
      <c r="F980" s="25"/>
      <c r="G980" s="27"/>
      <c r="H980" s="74"/>
      <c r="I980" s="25"/>
      <c r="J980" s="25"/>
      <c r="K980" s="25"/>
      <c r="L980" s="25"/>
    </row>
    <row r="981" spans="2:12" x14ac:dyDescent="0.2">
      <c r="B981" s="25"/>
      <c r="C981" s="25"/>
      <c r="D981" s="25"/>
      <c r="E981" s="25"/>
      <c r="F981" s="25"/>
      <c r="G981" s="27"/>
      <c r="H981" s="74"/>
      <c r="I981" s="25"/>
      <c r="J981" s="25"/>
      <c r="K981" s="25"/>
      <c r="L981" s="25"/>
    </row>
    <row r="982" spans="2:12" x14ac:dyDescent="0.2">
      <c r="B982" s="25"/>
      <c r="C982" s="25"/>
      <c r="D982" s="25"/>
      <c r="E982" s="25"/>
      <c r="F982" s="25"/>
      <c r="G982" s="27"/>
      <c r="H982" s="74"/>
      <c r="I982" s="25"/>
      <c r="J982" s="25"/>
      <c r="K982" s="25"/>
      <c r="L982" s="25"/>
    </row>
    <row r="983" spans="2:12" x14ac:dyDescent="0.2">
      <c r="B983" s="25"/>
      <c r="C983" s="25"/>
      <c r="D983" s="25"/>
      <c r="E983" s="25"/>
      <c r="F983" s="25"/>
      <c r="G983" s="27"/>
      <c r="H983" s="74"/>
      <c r="I983" s="25"/>
      <c r="J983" s="25"/>
      <c r="K983" s="25"/>
      <c r="L983" s="25"/>
    </row>
    <row r="984" spans="2:12" x14ac:dyDescent="0.2">
      <c r="B984" s="25"/>
      <c r="C984" s="25"/>
      <c r="D984" s="25"/>
      <c r="E984" s="25"/>
      <c r="F984" s="25"/>
      <c r="G984" s="27"/>
      <c r="H984" s="74"/>
      <c r="I984" s="25"/>
      <c r="J984" s="25"/>
      <c r="K984" s="25"/>
      <c r="L984" s="25"/>
    </row>
    <row r="985" spans="2:12" x14ac:dyDescent="0.2">
      <c r="B985" s="25"/>
      <c r="C985" s="25"/>
      <c r="D985" s="25"/>
      <c r="E985" s="25"/>
      <c r="F985" s="25"/>
      <c r="G985" s="27"/>
      <c r="H985" s="74"/>
      <c r="I985" s="25"/>
      <c r="J985" s="25"/>
      <c r="K985" s="25"/>
      <c r="L985" s="25"/>
    </row>
    <row r="986" spans="2:12" x14ac:dyDescent="0.2">
      <c r="B986" s="25"/>
      <c r="C986" s="25"/>
      <c r="D986" s="25"/>
      <c r="E986" s="25"/>
      <c r="F986" s="25"/>
      <c r="G986" s="27"/>
      <c r="H986" s="74"/>
      <c r="I986" s="25"/>
      <c r="J986" s="25"/>
      <c r="K986" s="25"/>
      <c r="L986" s="25"/>
    </row>
    <row r="987" spans="2:12" x14ac:dyDescent="0.2">
      <c r="B987" s="25"/>
      <c r="C987" s="25"/>
      <c r="D987" s="25"/>
      <c r="E987" s="25"/>
      <c r="F987" s="25"/>
      <c r="G987" s="27"/>
      <c r="H987" s="74"/>
      <c r="I987" s="25"/>
      <c r="J987" s="25"/>
      <c r="K987" s="25"/>
      <c r="L987" s="25"/>
    </row>
    <row r="988" spans="2:12" x14ac:dyDescent="0.2">
      <c r="B988" s="25"/>
      <c r="C988" s="25"/>
      <c r="D988" s="25"/>
      <c r="E988" s="25"/>
      <c r="F988" s="25"/>
      <c r="G988" s="27"/>
      <c r="H988" s="74"/>
      <c r="I988" s="25"/>
      <c r="J988" s="25"/>
      <c r="K988" s="25"/>
      <c r="L988" s="25"/>
    </row>
    <row r="989" spans="2:12" x14ac:dyDescent="0.2">
      <c r="B989" s="25"/>
      <c r="C989" s="25"/>
      <c r="D989" s="25"/>
      <c r="E989" s="25"/>
      <c r="F989" s="25"/>
      <c r="G989" s="27"/>
      <c r="H989" s="74"/>
      <c r="I989" s="25"/>
      <c r="J989" s="25"/>
      <c r="K989" s="25"/>
      <c r="L989" s="25"/>
    </row>
    <row r="990" spans="2:12" x14ac:dyDescent="0.2">
      <c r="B990" s="25"/>
      <c r="C990" s="25"/>
      <c r="D990" s="25"/>
      <c r="E990" s="25"/>
      <c r="F990" s="25"/>
      <c r="G990" s="27"/>
      <c r="H990" s="74"/>
      <c r="J990" s="25"/>
      <c r="K990" s="25"/>
      <c r="L990" s="25"/>
    </row>
    <row r="991" spans="2:12" x14ac:dyDescent="0.2">
      <c r="B991" s="25"/>
      <c r="C991" s="25"/>
      <c r="D991" s="25"/>
      <c r="E991" s="25"/>
      <c r="F991" s="25"/>
      <c r="G991" s="27"/>
      <c r="H991" s="74"/>
      <c r="J991" s="25"/>
      <c r="K991" s="25"/>
      <c r="L991" s="25"/>
    </row>
    <row r="992" spans="2:12" x14ac:dyDescent="0.2">
      <c r="B992" s="25"/>
      <c r="C992" s="25"/>
      <c r="D992" s="25"/>
      <c r="E992" s="25"/>
      <c r="F992" s="25"/>
      <c r="G992" s="27"/>
      <c r="H992" s="74"/>
      <c r="J992" s="25"/>
      <c r="K992" s="25"/>
      <c r="L992" s="25"/>
    </row>
    <row r="993" spans="2:12" x14ac:dyDescent="0.2">
      <c r="B993" s="25"/>
      <c r="C993" s="25"/>
      <c r="D993" s="25"/>
      <c r="E993" s="25"/>
      <c r="F993" s="25"/>
      <c r="G993" s="27"/>
      <c r="H993" s="74"/>
      <c r="J993" s="25"/>
      <c r="K993" s="25"/>
      <c r="L993" s="25"/>
    </row>
    <row r="994" spans="2:12" x14ac:dyDescent="0.2">
      <c r="B994" s="25"/>
      <c r="C994" s="25"/>
      <c r="D994" s="25"/>
      <c r="E994" s="25"/>
      <c r="F994" s="25"/>
      <c r="G994" s="27"/>
      <c r="H994" s="74"/>
      <c r="J994" s="25"/>
      <c r="K994" s="25"/>
      <c r="L994" s="25"/>
    </row>
    <row r="995" spans="2:12" x14ac:dyDescent="0.2">
      <c r="B995" s="25"/>
      <c r="C995" s="25"/>
      <c r="D995" s="25"/>
      <c r="E995" s="25"/>
      <c r="F995" s="25"/>
      <c r="G995" s="27"/>
      <c r="H995" s="74"/>
      <c r="J995" s="25"/>
      <c r="K995" s="25"/>
      <c r="L995" s="25"/>
    </row>
    <row r="996" spans="2:12" x14ac:dyDescent="0.2">
      <c r="B996" s="25"/>
      <c r="C996" s="25"/>
      <c r="D996" s="25"/>
      <c r="E996" s="25"/>
      <c r="F996" s="25"/>
      <c r="G996" s="27"/>
      <c r="H996" s="74"/>
      <c r="J996" s="25"/>
      <c r="K996" s="25"/>
      <c r="L996" s="25"/>
    </row>
    <row r="997" spans="2:12" x14ac:dyDescent="0.2">
      <c r="B997" s="25"/>
      <c r="C997" s="25"/>
      <c r="D997" s="25"/>
      <c r="E997" s="25"/>
      <c r="F997" s="25"/>
      <c r="G997" s="27"/>
      <c r="H997" s="74"/>
      <c r="J997" s="25"/>
      <c r="K997" s="25"/>
      <c r="L997" s="25"/>
    </row>
    <row r="998" spans="2:12" x14ac:dyDescent="0.2">
      <c r="B998" s="25"/>
      <c r="C998" s="25"/>
      <c r="D998" s="25"/>
      <c r="E998" s="25"/>
      <c r="F998" s="25"/>
      <c r="G998" s="27"/>
      <c r="H998" s="74"/>
      <c r="J998" s="25"/>
      <c r="K998" s="25"/>
      <c r="L998" s="25"/>
    </row>
    <row r="999" spans="2:12" x14ac:dyDescent="0.2">
      <c r="B999" s="25"/>
      <c r="C999" s="25"/>
      <c r="D999" s="25"/>
      <c r="E999" s="25"/>
      <c r="F999" s="25"/>
      <c r="G999" s="27"/>
      <c r="H999" s="74"/>
      <c r="J999" s="25"/>
      <c r="K999" s="25"/>
      <c r="L999" s="25"/>
    </row>
    <row r="1000" spans="2:12" x14ac:dyDescent="0.2">
      <c r="B1000" s="25"/>
      <c r="C1000" s="25"/>
      <c r="D1000" s="25"/>
      <c r="E1000" s="25"/>
      <c r="F1000" s="25"/>
      <c r="G1000" s="27"/>
      <c r="H1000" s="74"/>
      <c r="J1000" s="25"/>
      <c r="K1000" s="25"/>
      <c r="L1000" s="25"/>
    </row>
    <row r="1001" spans="2:12" x14ac:dyDescent="0.2">
      <c r="B1001" s="25"/>
      <c r="C1001" s="25"/>
      <c r="D1001" s="25"/>
      <c r="E1001" s="25"/>
      <c r="F1001" s="25"/>
      <c r="G1001" s="27"/>
      <c r="H1001" s="74"/>
      <c r="J1001" s="25"/>
      <c r="K1001" s="25"/>
      <c r="L1001" s="25"/>
    </row>
    <row r="1002" spans="2:12" x14ac:dyDescent="0.2">
      <c r="B1002" s="25"/>
      <c r="C1002" s="25"/>
      <c r="D1002" s="25"/>
      <c r="E1002" s="25"/>
      <c r="F1002" s="25"/>
      <c r="G1002" s="27"/>
      <c r="H1002" s="74"/>
      <c r="J1002" s="25"/>
      <c r="K1002" s="25"/>
      <c r="L1002" s="25"/>
    </row>
    <row r="1003" spans="2:12" x14ac:dyDescent="0.2">
      <c r="B1003" s="25"/>
      <c r="C1003" s="25"/>
      <c r="D1003" s="25"/>
      <c r="E1003" s="25"/>
      <c r="F1003" s="25"/>
      <c r="G1003" s="27"/>
      <c r="H1003" s="74"/>
      <c r="J1003" s="25"/>
      <c r="K1003" s="25"/>
      <c r="L1003" s="25"/>
    </row>
    <row r="1004" spans="2:12" x14ac:dyDescent="0.2">
      <c r="B1004" s="25"/>
      <c r="C1004" s="25"/>
      <c r="D1004" s="25"/>
      <c r="E1004" s="25"/>
      <c r="F1004" s="25"/>
      <c r="G1004" s="27"/>
      <c r="H1004" s="74"/>
      <c r="J1004" s="25"/>
      <c r="K1004" s="25"/>
      <c r="L1004" s="25"/>
    </row>
    <row r="3003" spans="2:12" x14ac:dyDescent="0.2">
      <c r="B3003" s="25"/>
      <c r="C3003" s="25"/>
      <c r="D3003" s="25"/>
      <c r="E3003" s="25"/>
      <c r="F3003" s="25"/>
      <c r="G3003" s="27"/>
      <c r="H3003" s="25"/>
      <c r="I3003" s="25"/>
      <c r="L3003" s="25"/>
    </row>
    <row r="3018" spans="2:12" x14ac:dyDescent="0.2">
      <c r="B3018" s="25"/>
      <c r="C3018" s="75"/>
      <c r="D3018" s="75"/>
      <c r="H3018" s="74"/>
      <c r="J3018" s="25"/>
      <c r="K3018" s="25"/>
      <c r="L3018" s="25"/>
    </row>
    <row r="3022" spans="2:12" x14ac:dyDescent="0.2">
      <c r="B3022" s="25"/>
      <c r="C3022" s="25"/>
      <c r="D3022" s="25"/>
      <c r="E3022" s="25"/>
      <c r="F3022" s="25"/>
      <c r="G3022" s="27"/>
      <c r="H3022" s="25"/>
      <c r="I3022" s="25"/>
      <c r="L3022" s="25"/>
    </row>
    <row r="3037" spans="2:8" x14ac:dyDescent="0.2">
      <c r="B3037" s="25"/>
      <c r="C3037" s="75"/>
      <c r="D3037" s="75"/>
      <c r="H3037" s="25"/>
    </row>
    <row r="3042" spans="2:9" x14ac:dyDescent="0.2">
      <c r="B3042" s="25"/>
      <c r="I3042" s="25"/>
    </row>
    <row r="3057" spans="2:12" x14ac:dyDescent="0.2">
      <c r="B3057" s="25"/>
      <c r="C3057" s="75"/>
      <c r="D3057" s="75"/>
      <c r="H3057" s="74"/>
      <c r="J3057" s="25"/>
      <c r="K3057" s="25"/>
      <c r="L3057" s="25"/>
    </row>
  </sheetData>
  <mergeCells count="237">
    <mergeCell ref="G515:I515"/>
    <mergeCell ref="B724:L724"/>
    <mergeCell ref="G646:I646"/>
    <mergeCell ref="G654:I654"/>
    <mergeCell ref="H222:I222"/>
    <mergeCell ref="H223:I223"/>
    <mergeCell ref="G212:J212"/>
    <mergeCell ref="G213:J213"/>
    <mergeCell ref="G214:J214"/>
    <mergeCell ref="G216:J216"/>
    <mergeCell ref="G217:J217"/>
    <mergeCell ref="G215:J215"/>
    <mergeCell ref="H219:I219"/>
    <mergeCell ref="H220:I220"/>
    <mergeCell ref="H221:I221"/>
    <mergeCell ref="G218:J218"/>
    <mergeCell ref="G648:I648"/>
    <mergeCell ref="G647:I647"/>
    <mergeCell ref="B590:L590"/>
    <mergeCell ref="B591:L591"/>
    <mergeCell ref="B592:C592"/>
    <mergeCell ref="D592:F592"/>
    <mergeCell ref="B642:K642"/>
    <mergeCell ref="B643:C643"/>
    <mergeCell ref="D643:F643"/>
    <mergeCell ref="G649:I649"/>
    <mergeCell ref="G650:I650"/>
    <mergeCell ref="G651:I651"/>
    <mergeCell ref="G652:I652"/>
    <mergeCell ref="G653:I653"/>
    <mergeCell ref="G705:I705"/>
    <mergeCell ref="B659:L659"/>
    <mergeCell ref="B660:L660"/>
    <mergeCell ref="B661:C661"/>
    <mergeCell ref="D661:F661"/>
    <mergeCell ref="B702:K702"/>
    <mergeCell ref="B703:C703"/>
    <mergeCell ref="D703:F703"/>
    <mergeCell ref="G704:J704"/>
    <mergeCell ref="G644:J644"/>
    <mergeCell ref="G510:I510"/>
    <mergeCell ref="B572:K572"/>
    <mergeCell ref="B573:C573"/>
    <mergeCell ref="D573:F573"/>
    <mergeCell ref="G574:J574"/>
    <mergeCell ref="G575:I575"/>
    <mergeCell ref="G576:I576"/>
    <mergeCell ref="G65:J65"/>
    <mergeCell ref="G66:J66"/>
    <mergeCell ref="G68:J68"/>
    <mergeCell ref="G369:I369"/>
    <mergeCell ref="B460:L460"/>
    <mergeCell ref="B461:L461"/>
    <mergeCell ref="B462:C462"/>
    <mergeCell ref="D462:F462"/>
    <mergeCell ref="B506:K506"/>
    <mergeCell ref="B507:C507"/>
    <mergeCell ref="D507:F507"/>
    <mergeCell ref="G508:J508"/>
    <mergeCell ref="B436:C436"/>
    <mergeCell ref="D436:F436"/>
    <mergeCell ref="G437:J437"/>
    <mergeCell ref="G438:I438"/>
    <mergeCell ref="B379:L379"/>
    <mergeCell ref="G577:I577"/>
    <mergeCell ref="G578:I578"/>
    <mergeCell ref="G579:I579"/>
    <mergeCell ref="G580:I580"/>
    <mergeCell ref="G581:I581"/>
    <mergeCell ref="G582:I582"/>
    <mergeCell ref="D381:F381"/>
    <mergeCell ref="B435:K435"/>
    <mergeCell ref="H446:I446"/>
    <mergeCell ref="H447:I447"/>
    <mergeCell ref="G509:I509"/>
    <mergeCell ref="G511:I511"/>
    <mergeCell ref="G512:I512"/>
    <mergeCell ref="G513:I513"/>
    <mergeCell ref="G514:I514"/>
    <mergeCell ref="B522:L522"/>
    <mergeCell ref="B523:L523"/>
    <mergeCell ref="B524:C524"/>
    <mergeCell ref="D524:F524"/>
    <mergeCell ref="F439:H439"/>
    <mergeCell ref="F441:I441"/>
    <mergeCell ref="D442:E442"/>
    <mergeCell ref="G516:I516"/>
    <mergeCell ref="H517:I517"/>
    <mergeCell ref="B381:C381"/>
    <mergeCell ref="F440:I440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D158:F158"/>
    <mergeCell ref="B205:K205"/>
    <mergeCell ref="B206:C206"/>
    <mergeCell ref="D206:F206"/>
    <mergeCell ref="G207:J207"/>
    <mergeCell ref="G208:J208"/>
    <mergeCell ref="G209:J209"/>
    <mergeCell ref="G210:J210"/>
    <mergeCell ref="G211:J211"/>
    <mergeCell ref="B240:L240"/>
    <mergeCell ref="B241:L241"/>
    <mergeCell ref="B242:C242"/>
    <mergeCell ref="D242:F242"/>
    <mergeCell ref="G71:I71"/>
    <mergeCell ref="D855:I855"/>
    <mergeCell ref="B2:L2"/>
    <mergeCell ref="B3:L3"/>
    <mergeCell ref="B62:K62"/>
    <mergeCell ref="B4:C4"/>
    <mergeCell ref="D4:F4"/>
    <mergeCell ref="B63:C63"/>
    <mergeCell ref="D63:F63"/>
    <mergeCell ref="G64:J64"/>
    <mergeCell ref="B77:L77"/>
    <mergeCell ref="B78:L78"/>
    <mergeCell ref="B79:C79"/>
    <mergeCell ref="D79:F79"/>
    <mergeCell ref="B133:K133"/>
    <mergeCell ref="G67:J67"/>
    <mergeCell ref="H70:J70"/>
    <mergeCell ref="B134:C134"/>
    <mergeCell ref="D134:F134"/>
    <mergeCell ref="G135:J135"/>
    <mergeCell ref="D854:I854"/>
    <mergeCell ref="B156:L156"/>
    <mergeCell ref="B157:L157"/>
    <mergeCell ref="B158:C158"/>
    <mergeCell ref="G297:J297"/>
    <mergeCell ref="G298:J298"/>
    <mergeCell ref="G299:J299"/>
    <mergeCell ref="G300:J300"/>
    <mergeCell ref="G301:J301"/>
    <mergeCell ref="B294:K294"/>
    <mergeCell ref="B295:C295"/>
    <mergeCell ref="D295:F295"/>
    <mergeCell ref="G296:J296"/>
    <mergeCell ref="G230:I230"/>
    <mergeCell ref="H224:I224"/>
    <mergeCell ref="H225:I225"/>
    <mergeCell ref="H226:I226"/>
    <mergeCell ref="G227:I227"/>
    <mergeCell ref="G228:I228"/>
    <mergeCell ref="G229:I229"/>
    <mergeCell ref="G231:I231"/>
    <mergeCell ref="G232:I232"/>
    <mergeCell ref="B762:K762"/>
    <mergeCell ref="B725:L725"/>
    <mergeCell ref="G303:J303"/>
    <mergeCell ref="G304:J304"/>
    <mergeCell ref="G305:J305"/>
    <mergeCell ref="B315:L315"/>
    <mergeCell ref="B316:L316"/>
    <mergeCell ref="H448:I448"/>
    <mergeCell ref="G442:I442"/>
    <mergeCell ref="G443:I443"/>
    <mergeCell ref="B317:C317"/>
    <mergeCell ref="D317:F317"/>
    <mergeCell ref="B361:K361"/>
    <mergeCell ref="H366:I366"/>
    <mergeCell ref="H367:I367"/>
    <mergeCell ref="G368:I368"/>
    <mergeCell ref="B362:C362"/>
    <mergeCell ref="D362:F362"/>
    <mergeCell ref="G363:J363"/>
    <mergeCell ref="G364:I364"/>
    <mergeCell ref="H365:I365"/>
    <mergeCell ref="G444:I444"/>
    <mergeCell ref="G445:I445"/>
    <mergeCell ref="B380:L380"/>
    <mergeCell ref="G767:I767"/>
    <mergeCell ref="G768:I768"/>
    <mergeCell ref="G769:I769"/>
    <mergeCell ref="G765:I765"/>
    <mergeCell ref="G766:I766"/>
    <mergeCell ref="G302:J302"/>
    <mergeCell ref="B763:C763"/>
    <mergeCell ref="D763:F763"/>
    <mergeCell ref="G764:J764"/>
    <mergeCell ref="G706:I706"/>
    <mergeCell ref="G708:I708"/>
    <mergeCell ref="G713:I713"/>
    <mergeCell ref="G714:I714"/>
    <mergeCell ref="G715:I715"/>
    <mergeCell ref="G718:I718"/>
    <mergeCell ref="G707:I707"/>
    <mergeCell ref="G709:I709"/>
    <mergeCell ref="G710:I710"/>
    <mergeCell ref="G711:I711"/>
    <mergeCell ref="G712:I712"/>
    <mergeCell ref="G716:I716"/>
    <mergeCell ref="G717:I717"/>
    <mergeCell ref="B726:C726"/>
    <mergeCell ref="D726:F726"/>
    <mergeCell ref="D782:F782"/>
    <mergeCell ref="B828:K828"/>
    <mergeCell ref="B829:C829"/>
    <mergeCell ref="D829:F829"/>
    <mergeCell ref="G830:J830"/>
    <mergeCell ref="G831:I831"/>
    <mergeCell ref="H774:I774"/>
    <mergeCell ref="G770:I770"/>
    <mergeCell ref="G771:I771"/>
    <mergeCell ref="G772:I772"/>
    <mergeCell ref="G773:I773"/>
    <mergeCell ref="G306:J306"/>
    <mergeCell ref="G307:J307"/>
    <mergeCell ref="G308:J308"/>
    <mergeCell ref="G309:J309"/>
    <mergeCell ref="H848:I848"/>
    <mergeCell ref="G832:I832"/>
    <mergeCell ref="G833:I833"/>
    <mergeCell ref="G834:I834"/>
    <mergeCell ref="G835:I835"/>
    <mergeCell ref="G836:I836"/>
    <mergeCell ref="G841:I841"/>
    <mergeCell ref="G842:I842"/>
    <mergeCell ref="G843:I843"/>
    <mergeCell ref="G844:I844"/>
    <mergeCell ref="G837:I837"/>
    <mergeCell ref="G838:I838"/>
    <mergeCell ref="G839:I839"/>
    <mergeCell ref="G840:I840"/>
    <mergeCell ref="G845:I845"/>
    <mergeCell ref="G846:I846"/>
    <mergeCell ref="G847:I847"/>
    <mergeCell ref="B780:L780"/>
    <mergeCell ref="B781:L781"/>
    <mergeCell ref="B782:C782"/>
  </mergeCells>
  <phoneticPr fontId="3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P3063"/>
  <sheetViews>
    <sheetView tabSelected="1" topLeftCell="A852" zoomScaleNormal="100" workbookViewId="0">
      <selection activeCell="H870" sqref="H870"/>
    </sheetView>
  </sheetViews>
  <sheetFormatPr baseColWidth="10" defaultColWidth="11.42578125" defaultRowHeight="12" x14ac:dyDescent="0.2"/>
  <cols>
    <col min="1" max="1" width="4.7109375" style="26" customWidth="1"/>
    <col min="2" max="2" width="10.42578125" style="26" customWidth="1"/>
    <col min="3" max="3" width="23.85546875" style="26" customWidth="1"/>
    <col min="4" max="4" width="10.5703125" style="26" customWidth="1"/>
    <col min="5" max="5" width="10.28515625" style="26" customWidth="1"/>
    <col min="6" max="6" width="10.85546875" style="26" customWidth="1"/>
    <col min="7" max="7" width="26.85546875" style="26" customWidth="1"/>
    <col min="8" max="8" width="11.140625" style="26" customWidth="1"/>
    <col min="9" max="10" width="14.140625" style="26" customWidth="1"/>
    <col min="11" max="11" width="9.140625" style="26" customWidth="1"/>
    <col min="12" max="16384" width="11.42578125" style="26"/>
  </cols>
  <sheetData>
    <row r="2" spans="2:13" x14ac:dyDescent="0.2">
      <c r="B2" s="544" t="s">
        <v>48</v>
      </c>
      <c r="C2" s="545"/>
      <c r="D2" s="545"/>
      <c r="E2" s="545"/>
      <c r="F2" s="545"/>
      <c r="G2" s="545"/>
      <c r="H2" s="545"/>
      <c r="I2" s="545"/>
      <c r="J2" s="545"/>
      <c r="K2" s="545"/>
      <c r="L2" s="546"/>
    </row>
    <row r="3" spans="2:13" x14ac:dyDescent="0.2">
      <c r="B3" s="547" t="s">
        <v>49</v>
      </c>
      <c r="C3" s="548"/>
      <c r="D3" s="548"/>
      <c r="E3" s="548"/>
      <c r="F3" s="548"/>
      <c r="G3" s="548"/>
      <c r="H3" s="548"/>
      <c r="I3" s="548"/>
      <c r="J3" s="548"/>
      <c r="K3" s="548"/>
      <c r="L3" s="549"/>
    </row>
    <row r="4" spans="2:13" ht="15" customHeight="1" x14ac:dyDescent="0.2">
      <c r="B4" s="550" t="s">
        <v>50</v>
      </c>
      <c r="C4" s="550"/>
      <c r="D4" s="551" t="s">
        <v>51</v>
      </c>
      <c r="E4" s="551"/>
      <c r="F4" s="551"/>
      <c r="G4" s="472"/>
      <c r="H4" s="472"/>
      <c r="I4" s="472"/>
      <c r="J4" s="472"/>
      <c r="K4" s="472"/>
      <c r="L4" s="473"/>
    </row>
    <row r="5" spans="2:13" ht="30" customHeight="1" x14ac:dyDescent="0.2">
      <c r="B5" s="56" t="s">
        <v>1</v>
      </c>
      <c r="C5" s="57" t="s">
        <v>2</v>
      </c>
      <c r="D5" s="57" t="s">
        <v>2</v>
      </c>
      <c r="E5" s="5" t="s">
        <v>3</v>
      </c>
      <c r="F5" s="5" t="s">
        <v>4</v>
      </c>
      <c r="G5" s="89" t="s">
        <v>6</v>
      </c>
      <c r="H5" s="83" t="s">
        <v>7</v>
      </c>
      <c r="I5" s="83" t="s">
        <v>52</v>
      </c>
      <c r="J5" s="83" t="s">
        <v>53</v>
      </c>
      <c r="K5" s="5" t="s">
        <v>10</v>
      </c>
      <c r="L5" s="5" t="s">
        <v>11</v>
      </c>
    </row>
    <row r="6" spans="2:13" x14ac:dyDescent="0.2">
      <c r="B6" s="349"/>
      <c r="C6" s="349"/>
      <c r="D6" s="59"/>
      <c r="E6" s="13"/>
      <c r="F6" s="13"/>
      <c r="G6" s="59"/>
      <c r="I6" s="61"/>
      <c r="J6" s="61"/>
      <c r="K6" s="61"/>
      <c r="L6" s="60">
        <f>'2020'!I870</f>
        <v>74316.170000000042</v>
      </c>
    </row>
    <row r="7" spans="2:13" x14ac:dyDescent="0.2">
      <c r="B7" s="110">
        <v>44200</v>
      </c>
      <c r="C7" s="349"/>
      <c r="D7" s="11"/>
      <c r="E7" s="15"/>
      <c r="F7" s="15"/>
      <c r="G7" s="59" t="s">
        <v>860</v>
      </c>
      <c r="H7" s="60">
        <v>340</v>
      </c>
      <c r="I7" s="12">
        <f t="shared" ref="I7:I30" si="0">H7*0.32</f>
        <v>108.8</v>
      </c>
      <c r="J7" s="12">
        <f t="shared" ref="J7:J30" si="1">H7*0.68</f>
        <v>231.20000000000002</v>
      </c>
      <c r="K7" s="12"/>
      <c r="L7" s="63">
        <f t="shared" ref="L7:L30" si="2">+J7-K7+L6</f>
        <v>74547.370000000039</v>
      </c>
      <c r="M7" s="417"/>
    </row>
    <row r="8" spans="2:13" x14ac:dyDescent="0.2">
      <c r="B8" s="110">
        <v>44201</v>
      </c>
      <c r="C8" s="349"/>
      <c r="D8" s="11"/>
      <c r="E8" s="15"/>
      <c r="F8" s="15"/>
      <c r="G8" s="59" t="s">
        <v>860</v>
      </c>
      <c r="H8" s="112">
        <v>1119</v>
      </c>
      <c r="I8" s="12">
        <f t="shared" si="0"/>
        <v>358.08</v>
      </c>
      <c r="J8" s="12">
        <f t="shared" si="1"/>
        <v>760.92000000000007</v>
      </c>
      <c r="K8" s="12"/>
      <c r="L8" s="63">
        <f t="shared" si="2"/>
        <v>75308.290000000037</v>
      </c>
      <c r="M8" s="417"/>
    </row>
    <row r="9" spans="2:13" x14ac:dyDescent="0.2">
      <c r="B9" s="110">
        <v>44202</v>
      </c>
      <c r="C9" s="349"/>
      <c r="D9" s="11"/>
      <c r="E9" s="15"/>
      <c r="F9" s="15"/>
      <c r="G9" s="59" t="s">
        <v>860</v>
      </c>
      <c r="H9" s="112">
        <v>1500</v>
      </c>
      <c r="I9" s="12">
        <f t="shared" si="0"/>
        <v>480</v>
      </c>
      <c r="J9" s="12">
        <f t="shared" si="1"/>
        <v>1020.0000000000001</v>
      </c>
      <c r="K9" s="12"/>
      <c r="L9" s="63">
        <f t="shared" si="2"/>
        <v>76328.290000000037</v>
      </c>
      <c r="M9" s="417"/>
    </row>
    <row r="10" spans="2:13" x14ac:dyDescent="0.2">
      <c r="B10" s="110">
        <v>44203</v>
      </c>
      <c r="C10" s="349"/>
      <c r="D10" s="77"/>
      <c r="E10" s="15"/>
      <c r="F10" s="15"/>
      <c r="G10" s="59" t="s">
        <v>860</v>
      </c>
      <c r="H10" s="112">
        <v>1890</v>
      </c>
      <c r="I10" s="12">
        <f t="shared" si="0"/>
        <v>604.80000000000007</v>
      </c>
      <c r="J10" s="12">
        <f t="shared" si="1"/>
        <v>1285.2</v>
      </c>
      <c r="K10" s="12"/>
      <c r="L10" s="63">
        <f t="shared" si="2"/>
        <v>77613.490000000034</v>
      </c>
      <c r="M10" s="417"/>
    </row>
    <row r="11" spans="2:13" x14ac:dyDescent="0.2">
      <c r="B11" s="110">
        <v>44204</v>
      </c>
      <c r="C11" s="349"/>
      <c r="D11" s="11"/>
      <c r="E11" s="15"/>
      <c r="F11" s="15"/>
      <c r="G11" s="59" t="s">
        <v>860</v>
      </c>
      <c r="H11" s="112">
        <v>3700</v>
      </c>
      <c r="I11" s="12">
        <f t="shared" si="0"/>
        <v>1184</v>
      </c>
      <c r="J11" s="12">
        <f t="shared" si="1"/>
        <v>2516</v>
      </c>
      <c r="K11" s="12"/>
      <c r="L11" s="63">
        <f t="shared" si="2"/>
        <v>80129.490000000034</v>
      </c>
      <c r="M11" s="417"/>
    </row>
    <row r="12" spans="2:13" x14ac:dyDescent="0.2">
      <c r="B12" s="110">
        <v>44205</v>
      </c>
      <c r="C12" s="349"/>
      <c r="D12" s="11"/>
      <c r="E12" s="15"/>
      <c r="F12" s="15"/>
      <c r="G12" s="59" t="s">
        <v>860</v>
      </c>
      <c r="H12" s="112">
        <v>3606</v>
      </c>
      <c r="I12" s="12">
        <f t="shared" si="0"/>
        <v>1153.92</v>
      </c>
      <c r="J12" s="12">
        <f t="shared" si="1"/>
        <v>2452.0800000000004</v>
      </c>
      <c r="K12" s="12"/>
      <c r="L12" s="63">
        <f t="shared" si="2"/>
        <v>82581.570000000036</v>
      </c>
      <c r="M12" s="417"/>
    </row>
    <row r="13" spans="2:13" x14ac:dyDescent="0.2">
      <c r="B13" s="110">
        <v>44207</v>
      </c>
      <c r="C13" s="349"/>
      <c r="D13" s="11"/>
      <c r="E13" s="15"/>
      <c r="F13" s="15"/>
      <c r="G13" s="59" t="s">
        <v>860</v>
      </c>
      <c r="H13" s="112">
        <v>3800</v>
      </c>
      <c r="I13" s="12">
        <f t="shared" si="0"/>
        <v>1216</v>
      </c>
      <c r="J13" s="12">
        <f t="shared" si="1"/>
        <v>2584</v>
      </c>
      <c r="K13" s="12"/>
      <c r="L13" s="63">
        <f t="shared" si="2"/>
        <v>85165.570000000036</v>
      </c>
      <c r="M13" s="417"/>
    </row>
    <row r="14" spans="2:13" x14ac:dyDescent="0.2">
      <c r="B14" s="110">
        <v>44208</v>
      </c>
      <c r="C14" s="349"/>
      <c r="D14" s="11"/>
      <c r="E14" s="15"/>
      <c r="F14" s="15"/>
      <c r="G14" s="59" t="s">
        <v>860</v>
      </c>
      <c r="H14" s="112">
        <v>4500</v>
      </c>
      <c r="I14" s="12">
        <f t="shared" si="0"/>
        <v>1440</v>
      </c>
      <c r="J14" s="12">
        <f t="shared" si="1"/>
        <v>3060</v>
      </c>
      <c r="K14" s="12"/>
      <c r="L14" s="63">
        <f t="shared" si="2"/>
        <v>88225.570000000036</v>
      </c>
      <c r="M14" s="417"/>
    </row>
    <row r="15" spans="2:13" x14ac:dyDescent="0.2">
      <c r="B15" s="110">
        <v>44209</v>
      </c>
      <c r="C15" s="349"/>
      <c r="D15" s="11"/>
      <c r="E15" s="15"/>
      <c r="F15" s="15"/>
      <c r="G15" s="59" t="s">
        <v>860</v>
      </c>
      <c r="H15" s="112">
        <v>2210</v>
      </c>
      <c r="I15" s="12">
        <f t="shared" si="0"/>
        <v>707.2</v>
      </c>
      <c r="J15" s="12">
        <f t="shared" si="1"/>
        <v>1502.8000000000002</v>
      </c>
      <c r="K15" s="12"/>
      <c r="L15" s="63">
        <f t="shared" si="2"/>
        <v>89728.370000000039</v>
      </c>
      <c r="M15" s="417"/>
    </row>
    <row r="16" spans="2:13" x14ac:dyDescent="0.2">
      <c r="B16" s="110">
        <v>44210</v>
      </c>
      <c r="C16" s="349"/>
      <c r="D16" s="11"/>
      <c r="E16" s="15"/>
      <c r="F16" s="15"/>
      <c r="G16" s="59" t="s">
        <v>860</v>
      </c>
      <c r="H16" s="112">
        <v>2084</v>
      </c>
      <c r="I16" s="12">
        <f t="shared" si="0"/>
        <v>666.88</v>
      </c>
      <c r="J16" s="12">
        <f t="shared" si="1"/>
        <v>1417.1200000000001</v>
      </c>
      <c r="K16" s="12"/>
      <c r="L16" s="63">
        <f t="shared" si="2"/>
        <v>91145.490000000034</v>
      </c>
      <c r="M16" s="417"/>
    </row>
    <row r="17" spans="2:13" x14ac:dyDescent="0.2">
      <c r="B17" s="110">
        <v>44211</v>
      </c>
      <c r="C17" s="349"/>
      <c r="D17" s="11"/>
      <c r="E17" s="15"/>
      <c r="F17" s="15"/>
      <c r="G17" s="59" t="s">
        <v>860</v>
      </c>
      <c r="H17" s="112">
        <v>2740</v>
      </c>
      <c r="I17" s="12">
        <f t="shared" si="0"/>
        <v>876.80000000000007</v>
      </c>
      <c r="J17" s="12">
        <f t="shared" si="1"/>
        <v>1863.2</v>
      </c>
      <c r="K17" s="12"/>
      <c r="L17" s="63">
        <f t="shared" si="2"/>
        <v>93008.690000000031</v>
      </c>
      <c r="M17" s="417"/>
    </row>
    <row r="18" spans="2:13" x14ac:dyDescent="0.2">
      <c r="B18" s="110">
        <v>44212</v>
      </c>
      <c r="C18" s="349"/>
      <c r="D18" s="11"/>
      <c r="E18" s="15"/>
      <c r="F18" s="15"/>
      <c r="G18" s="59" t="s">
        <v>860</v>
      </c>
      <c r="H18" s="112">
        <v>580</v>
      </c>
      <c r="I18" s="12">
        <f t="shared" si="0"/>
        <v>185.6</v>
      </c>
      <c r="J18" s="12">
        <f t="shared" si="1"/>
        <v>394.40000000000003</v>
      </c>
      <c r="K18" s="12"/>
      <c r="L18" s="63">
        <f t="shared" si="2"/>
        <v>93403.090000000026</v>
      </c>
      <c r="M18" s="417"/>
    </row>
    <row r="19" spans="2:13" x14ac:dyDescent="0.2">
      <c r="B19" s="110">
        <v>44215</v>
      </c>
      <c r="C19" s="349"/>
      <c r="D19" s="11"/>
      <c r="E19" s="15"/>
      <c r="F19" s="15"/>
      <c r="G19" s="59" t="s">
        <v>860</v>
      </c>
      <c r="H19" s="112">
        <v>285</v>
      </c>
      <c r="I19" s="12">
        <f t="shared" si="0"/>
        <v>91.2</v>
      </c>
      <c r="J19" s="12">
        <f t="shared" si="1"/>
        <v>193.8</v>
      </c>
      <c r="K19" s="12"/>
      <c r="L19" s="63">
        <f t="shared" si="2"/>
        <v>93596.890000000029</v>
      </c>
      <c r="M19" s="417"/>
    </row>
    <row r="20" spans="2:13" x14ac:dyDescent="0.2">
      <c r="B20" s="110">
        <v>44216</v>
      </c>
      <c r="C20" s="349"/>
      <c r="D20" s="11"/>
      <c r="E20" s="15"/>
      <c r="F20" s="15"/>
      <c r="G20" s="59" t="s">
        <v>860</v>
      </c>
      <c r="H20" s="112">
        <v>1245</v>
      </c>
      <c r="I20" s="12">
        <f t="shared" si="0"/>
        <v>398.40000000000003</v>
      </c>
      <c r="J20" s="12">
        <f t="shared" si="1"/>
        <v>846.6</v>
      </c>
      <c r="K20" s="12"/>
      <c r="L20" s="63">
        <f t="shared" si="2"/>
        <v>94443.490000000034</v>
      </c>
      <c r="M20" s="417"/>
    </row>
    <row r="21" spans="2:13" x14ac:dyDescent="0.2">
      <c r="B21" s="110">
        <v>44217</v>
      </c>
      <c r="C21" s="349"/>
      <c r="D21" s="77"/>
      <c r="E21" s="15"/>
      <c r="F21" s="15"/>
      <c r="G21" s="59" t="s">
        <v>860</v>
      </c>
      <c r="H21" s="112">
        <v>3663</v>
      </c>
      <c r="I21" s="12">
        <f t="shared" si="0"/>
        <v>1172.1600000000001</v>
      </c>
      <c r="J21" s="12">
        <f t="shared" si="1"/>
        <v>2490.84</v>
      </c>
      <c r="K21" s="12"/>
      <c r="L21" s="63">
        <f t="shared" si="2"/>
        <v>96934.330000000031</v>
      </c>
      <c r="M21" s="417"/>
    </row>
    <row r="22" spans="2:13" x14ac:dyDescent="0.2">
      <c r="B22" s="110">
        <v>44218</v>
      </c>
      <c r="C22" s="349"/>
      <c r="D22" s="11"/>
      <c r="E22" s="15"/>
      <c r="F22" s="15"/>
      <c r="G22" s="59" t="s">
        <v>860</v>
      </c>
      <c r="H22" s="112">
        <v>1835</v>
      </c>
      <c r="I22" s="12">
        <f t="shared" si="0"/>
        <v>587.20000000000005</v>
      </c>
      <c r="J22" s="12">
        <f t="shared" si="1"/>
        <v>1247.8000000000002</v>
      </c>
      <c r="K22" s="12"/>
      <c r="L22" s="63">
        <f t="shared" si="2"/>
        <v>98182.130000000034</v>
      </c>
      <c r="M22" s="417"/>
    </row>
    <row r="23" spans="2:13" x14ac:dyDescent="0.2">
      <c r="B23" s="110">
        <v>44219</v>
      </c>
      <c r="C23" s="349"/>
      <c r="D23" s="11"/>
      <c r="E23" s="15"/>
      <c r="F23" s="15"/>
      <c r="G23" s="59" t="s">
        <v>860</v>
      </c>
      <c r="H23" s="112">
        <v>250</v>
      </c>
      <c r="I23" s="12">
        <f t="shared" si="0"/>
        <v>80</v>
      </c>
      <c r="J23" s="12">
        <f t="shared" si="1"/>
        <v>170</v>
      </c>
      <c r="K23" s="12"/>
      <c r="L23" s="63">
        <f t="shared" si="2"/>
        <v>98352.130000000034</v>
      </c>
      <c r="M23" s="417"/>
    </row>
    <row r="24" spans="2:13" x14ac:dyDescent="0.2">
      <c r="B24" s="110">
        <v>44221</v>
      </c>
      <c r="C24" s="349"/>
      <c r="D24" s="11"/>
      <c r="E24" s="15"/>
      <c r="F24" s="15"/>
      <c r="G24" s="59" t="s">
        <v>860</v>
      </c>
      <c r="H24" s="112">
        <v>1590</v>
      </c>
      <c r="I24" s="12">
        <f t="shared" si="0"/>
        <v>508.8</v>
      </c>
      <c r="J24" s="12">
        <f t="shared" si="1"/>
        <v>1081.2</v>
      </c>
      <c r="K24" s="12"/>
      <c r="L24" s="63">
        <f t="shared" si="2"/>
        <v>99433.330000000031</v>
      </c>
      <c r="M24" s="417"/>
    </row>
    <row r="25" spans="2:13" x14ac:dyDescent="0.2">
      <c r="B25" s="110">
        <v>44222</v>
      </c>
      <c r="C25" s="349"/>
      <c r="D25" s="11"/>
      <c r="E25" s="15"/>
      <c r="F25" s="15"/>
      <c r="G25" s="59" t="s">
        <v>860</v>
      </c>
      <c r="H25" s="112">
        <v>2290</v>
      </c>
      <c r="I25" s="12">
        <f t="shared" si="0"/>
        <v>732.80000000000007</v>
      </c>
      <c r="J25" s="12">
        <f t="shared" si="1"/>
        <v>1557.2</v>
      </c>
      <c r="K25" s="12"/>
      <c r="L25" s="63">
        <f t="shared" si="2"/>
        <v>100990.53000000003</v>
      </c>
      <c r="M25" s="417"/>
    </row>
    <row r="26" spans="2:13" x14ac:dyDescent="0.2">
      <c r="B26" s="110">
        <v>44223</v>
      </c>
      <c r="C26" s="349"/>
      <c r="D26" s="11"/>
      <c r="E26" s="15"/>
      <c r="F26" s="15"/>
      <c r="G26" s="59" t="s">
        <v>860</v>
      </c>
      <c r="H26" s="112">
        <v>1288</v>
      </c>
      <c r="I26" s="12">
        <f t="shared" si="0"/>
        <v>412.16</v>
      </c>
      <c r="J26" s="12">
        <f t="shared" si="1"/>
        <v>875.84</v>
      </c>
      <c r="K26" s="12"/>
      <c r="L26" s="63">
        <f t="shared" si="2"/>
        <v>101866.37000000002</v>
      </c>
      <c r="M26" s="417"/>
    </row>
    <row r="27" spans="2:13" x14ac:dyDescent="0.2">
      <c r="B27" s="110">
        <v>44224</v>
      </c>
      <c r="C27" s="349"/>
      <c r="D27" s="11"/>
      <c r="E27" s="15"/>
      <c r="F27" s="15"/>
      <c r="G27" s="59" t="s">
        <v>860</v>
      </c>
      <c r="H27" s="112">
        <v>150</v>
      </c>
      <c r="I27" s="12">
        <f t="shared" si="0"/>
        <v>48</v>
      </c>
      <c r="J27" s="12">
        <f t="shared" si="1"/>
        <v>102.00000000000001</v>
      </c>
      <c r="K27" s="12"/>
      <c r="L27" s="63">
        <f t="shared" si="2"/>
        <v>101968.37000000002</v>
      </c>
      <c r="M27" s="417"/>
    </row>
    <row r="28" spans="2:13" x14ac:dyDescent="0.2">
      <c r="B28" s="110">
        <v>44225</v>
      </c>
      <c r="C28" s="349"/>
      <c r="D28" s="11"/>
      <c r="E28" s="15"/>
      <c r="F28" s="15"/>
      <c r="G28" s="59" t="s">
        <v>860</v>
      </c>
      <c r="H28" s="112">
        <v>290</v>
      </c>
      <c r="I28" s="12">
        <f t="shared" si="0"/>
        <v>92.8</v>
      </c>
      <c r="J28" s="12">
        <f t="shared" si="1"/>
        <v>197.20000000000002</v>
      </c>
      <c r="K28" s="12"/>
      <c r="L28" s="63">
        <f t="shared" si="2"/>
        <v>102165.57000000002</v>
      </c>
      <c r="M28" s="417"/>
    </row>
    <row r="29" spans="2:13" x14ac:dyDescent="0.2">
      <c r="B29" s="110">
        <v>44226</v>
      </c>
      <c r="C29" s="405"/>
      <c r="D29" s="11"/>
      <c r="E29" s="15"/>
      <c r="F29" s="15"/>
      <c r="G29" s="59" t="s">
        <v>860</v>
      </c>
      <c r="H29" s="112">
        <v>580</v>
      </c>
      <c r="I29" s="12">
        <f t="shared" si="0"/>
        <v>185.6</v>
      </c>
      <c r="J29" s="12">
        <f t="shared" si="1"/>
        <v>394.40000000000003</v>
      </c>
      <c r="K29" s="12"/>
      <c r="L29" s="63">
        <f t="shared" si="2"/>
        <v>102559.97000000002</v>
      </c>
      <c r="M29" s="417"/>
    </row>
    <row r="30" spans="2:13" x14ac:dyDescent="0.2">
      <c r="B30" s="110"/>
      <c r="C30" s="405"/>
      <c r="D30" s="11"/>
      <c r="E30" s="15"/>
      <c r="F30" s="15"/>
      <c r="G30" s="15"/>
      <c r="H30" s="112"/>
      <c r="I30" s="12">
        <f t="shared" si="0"/>
        <v>0</v>
      </c>
      <c r="J30" s="12">
        <f t="shared" si="1"/>
        <v>0</v>
      </c>
      <c r="K30" s="12"/>
      <c r="L30" s="63">
        <f t="shared" si="2"/>
        <v>102559.97000000002</v>
      </c>
      <c r="M30" s="417"/>
    </row>
    <row r="31" spans="2:13" x14ac:dyDescent="0.2">
      <c r="B31" s="110"/>
      <c r="C31" s="405"/>
      <c r="D31" s="11"/>
      <c r="E31" s="15"/>
      <c r="F31" s="15"/>
      <c r="G31" s="15"/>
      <c r="H31" s="112"/>
      <c r="I31" s="12">
        <f t="shared" ref="I31:I56" si="3">H31*0.32</f>
        <v>0</v>
      </c>
      <c r="J31" s="12">
        <f t="shared" ref="J31:J56" si="4">H31*0.68</f>
        <v>0</v>
      </c>
      <c r="K31" s="12"/>
      <c r="L31" s="63">
        <f t="shared" ref="L31:L71" si="5">+J31-K31+L30</f>
        <v>102559.97000000002</v>
      </c>
    </row>
    <row r="32" spans="2:13" x14ac:dyDescent="0.2">
      <c r="B32" s="110"/>
      <c r="C32" s="405"/>
      <c r="D32" s="11"/>
      <c r="E32" s="15"/>
      <c r="F32" s="15"/>
      <c r="G32" s="15"/>
      <c r="H32" s="112"/>
      <c r="I32" s="12">
        <f t="shared" si="3"/>
        <v>0</v>
      </c>
      <c r="J32" s="12">
        <f t="shared" si="4"/>
        <v>0</v>
      </c>
      <c r="K32" s="12"/>
      <c r="L32" s="63">
        <f t="shared" si="5"/>
        <v>102559.97000000002</v>
      </c>
    </row>
    <row r="33" spans="2:12" x14ac:dyDescent="0.2">
      <c r="B33" s="110"/>
      <c r="C33" s="405"/>
      <c r="D33" s="11"/>
      <c r="E33" s="15"/>
      <c r="F33" s="15"/>
      <c r="G33" s="15"/>
      <c r="H33" s="112"/>
      <c r="I33" s="12">
        <f t="shared" si="3"/>
        <v>0</v>
      </c>
      <c r="J33" s="12">
        <f t="shared" si="4"/>
        <v>0</v>
      </c>
      <c r="K33" s="12"/>
      <c r="L33" s="63">
        <f t="shared" si="5"/>
        <v>102559.97000000002</v>
      </c>
    </row>
    <row r="34" spans="2:12" x14ac:dyDescent="0.2">
      <c r="B34" s="110"/>
      <c r="C34" s="405"/>
      <c r="D34" s="11"/>
      <c r="E34" s="15"/>
      <c r="F34" s="15"/>
      <c r="G34" s="15"/>
      <c r="H34" s="112"/>
      <c r="I34" s="12">
        <f t="shared" si="3"/>
        <v>0</v>
      </c>
      <c r="J34" s="12">
        <f t="shared" si="4"/>
        <v>0</v>
      </c>
      <c r="K34" s="12"/>
      <c r="L34" s="63">
        <f t="shared" si="5"/>
        <v>102559.97000000002</v>
      </c>
    </row>
    <row r="35" spans="2:12" x14ac:dyDescent="0.2">
      <c r="B35" s="110"/>
      <c r="C35" s="405"/>
      <c r="D35" s="11"/>
      <c r="E35" s="15"/>
      <c r="F35" s="15"/>
      <c r="G35" s="15"/>
      <c r="H35" s="112"/>
      <c r="I35" s="12">
        <f t="shared" si="3"/>
        <v>0</v>
      </c>
      <c r="J35" s="12">
        <f t="shared" si="4"/>
        <v>0</v>
      </c>
      <c r="K35" s="12"/>
      <c r="L35" s="63">
        <f t="shared" si="5"/>
        <v>102559.97000000002</v>
      </c>
    </row>
    <row r="36" spans="2:12" x14ac:dyDescent="0.2">
      <c r="B36" s="110"/>
      <c r="C36" s="405"/>
      <c r="D36" s="11"/>
      <c r="E36" s="15"/>
      <c r="F36" s="15"/>
      <c r="G36" s="15"/>
      <c r="H36" s="112"/>
      <c r="I36" s="12">
        <f t="shared" si="3"/>
        <v>0</v>
      </c>
      <c r="J36" s="12">
        <f t="shared" si="4"/>
        <v>0</v>
      </c>
      <c r="K36" s="12"/>
      <c r="L36" s="63">
        <f t="shared" si="5"/>
        <v>102559.97000000002</v>
      </c>
    </row>
    <row r="37" spans="2:12" x14ac:dyDescent="0.2">
      <c r="B37" s="110"/>
      <c r="C37" s="405"/>
      <c r="D37" s="11"/>
      <c r="E37" s="15"/>
      <c r="F37" s="15"/>
      <c r="G37" s="15"/>
      <c r="H37" s="112"/>
      <c r="I37" s="12">
        <f t="shared" si="3"/>
        <v>0</v>
      </c>
      <c r="J37" s="12">
        <f t="shared" si="4"/>
        <v>0</v>
      </c>
      <c r="K37" s="12"/>
      <c r="L37" s="63">
        <f t="shared" si="5"/>
        <v>102559.97000000002</v>
      </c>
    </row>
    <row r="38" spans="2:12" x14ac:dyDescent="0.2">
      <c r="B38" s="110"/>
      <c r="C38" s="405"/>
      <c r="D38" s="11"/>
      <c r="E38" s="15"/>
      <c r="F38" s="15"/>
      <c r="G38" s="15"/>
      <c r="H38" s="112"/>
      <c r="I38" s="12">
        <f t="shared" si="3"/>
        <v>0</v>
      </c>
      <c r="J38" s="12">
        <f t="shared" si="4"/>
        <v>0</v>
      </c>
      <c r="K38" s="12"/>
      <c r="L38" s="63">
        <f t="shared" si="5"/>
        <v>102559.97000000002</v>
      </c>
    </row>
    <row r="39" spans="2:12" x14ac:dyDescent="0.2">
      <c r="B39" s="110"/>
      <c r="C39" s="405"/>
      <c r="D39" s="11"/>
      <c r="E39" s="15"/>
      <c r="F39" s="15"/>
      <c r="G39" s="15"/>
      <c r="H39" s="112"/>
      <c r="I39" s="12">
        <f t="shared" si="3"/>
        <v>0</v>
      </c>
      <c r="J39" s="12">
        <f t="shared" si="4"/>
        <v>0</v>
      </c>
      <c r="K39" s="12"/>
      <c r="L39" s="63">
        <f t="shared" si="5"/>
        <v>102559.97000000002</v>
      </c>
    </row>
    <row r="40" spans="2:12" x14ac:dyDescent="0.2">
      <c r="B40" s="110"/>
      <c r="C40" s="405"/>
      <c r="D40" s="11"/>
      <c r="E40" s="15"/>
      <c r="F40" s="15"/>
      <c r="G40" s="15"/>
      <c r="H40" s="112"/>
      <c r="I40" s="12">
        <f t="shared" si="3"/>
        <v>0</v>
      </c>
      <c r="J40" s="12">
        <f t="shared" si="4"/>
        <v>0</v>
      </c>
      <c r="K40" s="12"/>
      <c r="L40" s="63">
        <f t="shared" si="5"/>
        <v>102559.97000000002</v>
      </c>
    </row>
    <row r="41" spans="2:12" x14ac:dyDescent="0.2">
      <c r="B41" s="110"/>
      <c r="C41" s="405"/>
      <c r="D41" s="11"/>
      <c r="E41" s="15"/>
      <c r="F41" s="15"/>
      <c r="G41" s="15"/>
      <c r="H41" s="112"/>
      <c r="I41" s="12">
        <f t="shared" si="3"/>
        <v>0</v>
      </c>
      <c r="J41" s="12">
        <f t="shared" si="4"/>
        <v>0</v>
      </c>
      <c r="K41" s="12"/>
      <c r="L41" s="63">
        <f t="shared" si="5"/>
        <v>102559.97000000002</v>
      </c>
    </row>
    <row r="42" spans="2:12" x14ac:dyDescent="0.2">
      <c r="B42" s="110"/>
      <c r="C42" s="405"/>
      <c r="D42" s="11"/>
      <c r="E42" s="15"/>
      <c r="F42" s="15"/>
      <c r="G42" s="15"/>
      <c r="H42" s="112"/>
      <c r="I42" s="12">
        <f t="shared" si="3"/>
        <v>0</v>
      </c>
      <c r="J42" s="12">
        <f t="shared" si="4"/>
        <v>0</v>
      </c>
      <c r="K42" s="12"/>
      <c r="L42" s="63">
        <f t="shared" si="5"/>
        <v>102559.97000000002</v>
      </c>
    </row>
    <row r="43" spans="2:12" x14ac:dyDescent="0.2">
      <c r="B43" s="110"/>
      <c r="C43" s="405"/>
      <c r="D43" s="11"/>
      <c r="E43" s="15"/>
      <c r="F43" s="15"/>
      <c r="G43" s="15"/>
      <c r="H43" s="112"/>
      <c r="I43" s="12">
        <f t="shared" si="3"/>
        <v>0</v>
      </c>
      <c r="J43" s="12">
        <f t="shared" si="4"/>
        <v>0</v>
      </c>
      <c r="K43" s="12"/>
      <c r="L43" s="63">
        <f t="shared" si="5"/>
        <v>102559.97000000002</v>
      </c>
    </row>
    <row r="44" spans="2:12" x14ac:dyDescent="0.2">
      <c r="B44" s="110"/>
      <c r="C44" s="405"/>
      <c r="D44" s="11"/>
      <c r="E44" s="15"/>
      <c r="F44" s="15"/>
      <c r="G44" s="15"/>
      <c r="H44" s="112"/>
      <c r="I44" s="12">
        <f t="shared" si="3"/>
        <v>0</v>
      </c>
      <c r="J44" s="12">
        <f t="shared" si="4"/>
        <v>0</v>
      </c>
      <c r="K44" s="12"/>
      <c r="L44" s="63">
        <f t="shared" si="5"/>
        <v>102559.97000000002</v>
      </c>
    </row>
    <row r="45" spans="2:12" x14ac:dyDescent="0.2">
      <c r="B45" s="110"/>
      <c r="C45" s="405"/>
      <c r="D45" s="11"/>
      <c r="E45" s="15"/>
      <c r="F45" s="15"/>
      <c r="G45" s="15"/>
      <c r="H45" s="112"/>
      <c r="I45" s="12">
        <f t="shared" si="3"/>
        <v>0</v>
      </c>
      <c r="J45" s="12">
        <f t="shared" si="4"/>
        <v>0</v>
      </c>
      <c r="K45" s="12"/>
      <c r="L45" s="63">
        <f t="shared" si="5"/>
        <v>102559.97000000002</v>
      </c>
    </row>
    <row r="46" spans="2:12" x14ac:dyDescent="0.2">
      <c r="B46" s="110"/>
      <c r="C46" s="405"/>
      <c r="D46" s="11"/>
      <c r="E46" s="15"/>
      <c r="F46" s="15"/>
      <c r="G46" s="15"/>
      <c r="H46" s="112"/>
      <c r="I46" s="12">
        <f t="shared" si="3"/>
        <v>0</v>
      </c>
      <c r="J46" s="12">
        <f t="shared" si="4"/>
        <v>0</v>
      </c>
      <c r="K46" s="12"/>
      <c r="L46" s="63">
        <f t="shared" si="5"/>
        <v>102559.97000000002</v>
      </c>
    </row>
    <row r="47" spans="2:12" x14ac:dyDescent="0.2">
      <c r="B47" s="110"/>
      <c r="C47" s="405"/>
      <c r="D47" s="11"/>
      <c r="E47" s="15"/>
      <c r="F47" s="15"/>
      <c r="G47" s="15"/>
      <c r="H47" s="112"/>
      <c r="I47" s="12">
        <f t="shared" si="3"/>
        <v>0</v>
      </c>
      <c r="J47" s="12">
        <f t="shared" si="4"/>
        <v>0</v>
      </c>
      <c r="K47" s="12"/>
      <c r="L47" s="63">
        <f t="shared" si="5"/>
        <v>102559.97000000002</v>
      </c>
    </row>
    <row r="48" spans="2:12" x14ac:dyDescent="0.2">
      <c r="B48" s="110"/>
      <c r="C48" s="405"/>
      <c r="D48" s="11"/>
      <c r="E48" s="15"/>
      <c r="F48" s="15"/>
      <c r="G48" s="15"/>
      <c r="H48" s="112"/>
      <c r="I48" s="12">
        <f t="shared" si="3"/>
        <v>0</v>
      </c>
      <c r="J48" s="12">
        <f t="shared" si="4"/>
        <v>0</v>
      </c>
      <c r="K48" s="12"/>
      <c r="L48" s="63">
        <f t="shared" si="5"/>
        <v>102559.97000000002</v>
      </c>
    </row>
    <row r="49" spans="2:12" x14ac:dyDescent="0.2">
      <c r="B49" s="110"/>
      <c r="C49" s="405"/>
      <c r="D49" s="11"/>
      <c r="E49" s="15"/>
      <c r="F49" s="15"/>
      <c r="G49" s="15"/>
      <c r="H49" s="112"/>
      <c r="I49" s="12">
        <f t="shared" si="3"/>
        <v>0</v>
      </c>
      <c r="J49" s="12">
        <f t="shared" si="4"/>
        <v>0</v>
      </c>
      <c r="K49" s="12"/>
      <c r="L49" s="63">
        <f t="shared" si="5"/>
        <v>102559.97000000002</v>
      </c>
    </row>
    <row r="50" spans="2:12" x14ac:dyDescent="0.2">
      <c r="B50" s="110"/>
      <c r="C50" s="405"/>
      <c r="D50" s="11"/>
      <c r="E50" s="15"/>
      <c r="F50" s="15"/>
      <c r="G50" s="15"/>
      <c r="H50" s="112"/>
      <c r="I50" s="12">
        <f t="shared" si="3"/>
        <v>0</v>
      </c>
      <c r="J50" s="12">
        <f t="shared" si="4"/>
        <v>0</v>
      </c>
      <c r="K50" s="12"/>
      <c r="L50" s="63">
        <f t="shared" si="5"/>
        <v>102559.97000000002</v>
      </c>
    </row>
    <row r="51" spans="2:12" x14ac:dyDescent="0.2">
      <c r="B51" s="110"/>
      <c r="C51" s="405"/>
      <c r="D51" s="11"/>
      <c r="E51" s="15"/>
      <c r="F51" s="15"/>
      <c r="G51" s="15"/>
      <c r="H51" s="112"/>
      <c r="I51" s="12">
        <f t="shared" si="3"/>
        <v>0</v>
      </c>
      <c r="J51" s="12">
        <f t="shared" si="4"/>
        <v>0</v>
      </c>
      <c r="K51" s="12"/>
      <c r="L51" s="63">
        <f t="shared" si="5"/>
        <v>102559.97000000002</v>
      </c>
    </row>
    <row r="52" spans="2:12" x14ac:dyDescent="0.2">
      <c r="B52" s="110"/>
      <c r="C52" s="405"/>
      <c r="D52" s="11"/>
      <c r="E52" s="15"/>
      <c r="F52" s="15"/>
      <c r="G52" s="15"/>
      <c r="H52" s="112"/>
      <c r="I52" s="12">
        <f t="shared" si="3"/>
        <v>0</v>
      </c>
      <c r="J52" s="12">
        <f t="shared" si="4"/>
        <v>0</v>
      </c>
      <c r="K52" s="12"/>
      <c r="L52" s="63">
        <f t="shared" si="5"/>
        <v>102559.97000000002</v>
      </c>
    </row>
    <row r="53" spans="2:12" x14ac:dyDescent="0.2">
      <c r="B53" s="110"/>
      <c r="C53" s="405"/>
      <c r="D53" s="11"/>
      <c r="E53" s="15"/>
      <c r="F53" s="15"/>
      <c r="G53" s="15"/>
      <c r="H53" s="112"/>
      <c r="I53" s="12">
        <f t="shared" si="3"/>
        <v>0</v>
      </c>
      <c r="J53" s="12">
        <f t="shared" si="4"/>
        <v>0</v>
      </c>
      <c r="K53" s="12"/>
      <c r="L53" s="63">
        <f t="shared" si="5"/>
        <v>102559.97000000002</v>
      </c>
    </row>
    <row r="54" spans="2:12" x14ac:dyDescent="0.2">
      <c r="B54" s="110"/>
      <c r="C54" s="405"/>
      <c r="D54" s="11"/>
      <c r="E54" s="15"/>
      <c r="F54" s="15"/>
      <c r="G54" s="15"/>
      <c r="H54" s="112"/>
      <c r="I54" s="12">
        <f t="shared" si="3"/>
        <v>0</v>
      </c>
      <c r="J54" s="12">
        <f t="shared" si="4"/>
        <v>0</v>
      </c>
      <c r="K54" s="12"/>
      <c r="L54" s="63">
        <f t="shared" si="5"/>
        <v>102559.97000000002</v>
      </c>
    </row>
    <row r="55" spans="2:12" x14ac:dyDescent="0.2">
      <c r="B55" s="110"/>
      <c r="C55" s="405"/>
      <c r="D55" s="11"/>
      <c r="E55" s="15"/>
      <c r="F55" s="15"/>
      <c r="G55" s="15"/>
      <c r="H55" s="112"/>
      <c r="I55" s="12">
        <f t="shared" si="3"/>
        <v>0</v>
      </c>
      <c r="J55" s="12">
        <f t="shared" si="4"/>
        <v>0</v>
      </c>
      <c r="K55" s="12"/>
      <c r="L55" s="63">
        <f t="shared" si="5"/>
        <v>102559.97000000002</v>
      </c>
    </row>
    <row r="56" spans="2:12" x14ac:dyDescent="0.2">
      <c r="B56" s="110"/>
      <c r="C56" s="405"/>
      <c r="D56" s="11"/>
      <c r="E56" s="15"/>
      <c r="F56" s="15"/>
      <c r="G56" s="15"/>
      <c r="H56" s="112"/>
      <c r="I56" s="12">
        <f t="shared" si="3"/>
        <v>0</v>
      </c>
      <c r="J56" s="12">
        <f t="shared" si="4"/>
        <v>0</v>
      </c>
      <c r="K56" s="12"/>
      <c r="L56" s="63">
        <f>+J56-K56+L55</f>
        <v>102559.97000000002</v>
      </c>
    </row>
    <row r="57" spans="2:12" x14ac:dyDescent="0.2">
      <c r="B57" s="427"/>
      <c r="C57" s="428"/>
      <c r="D57" s="65"/>
      <c r="E57" s="13"/>
      <c r="F57" s="13"/>
      <c r="G57" s="66"/>
      <c r="H57" s="429"/>
      <c r="I57" s="12">
        <f>H57*0.32</f>
        <v>0</v>
      </c>
      <c r="J57" s="12">
        <f>H57*0.68</f>
        <v>0</v>
      </c>
      <c r="K57" s="12"/>
      <c r="L57" s="63">
        <f t="shared" ref="L57:L62" si="6">+J57-K57+L56</f>
        <v>102559.97000000002</v>
      </c>
    </row>
    <row r="58" spans="2:12" x14ac:dyDescent="0.2">
      <c r="B58" s="427"/>
      <c r="C58" s="428"/>
      <c r="D58" s="65"/>
      <c r="E58" s="13"/>
      <c r="F58" s="13"/>
      <c r="G58" s="66"/>
      <c r="H58" s="429"/>
      <c r="I58" s="426">
        <f>H58*0.32</f>
        <v>0</v>
      </c>
      <c r="J58" s="12">
        <f>H58*0.68</f>
        <v>0</v>
      </c>
      <c r="K58" s="426"/>
      <c r="L58" s="63">
        <f t="shared" si="6"/>
        <v>102559.97000000002</v>
      </c>
    </row>
    <row r="59" spans="2:12" x14ac:dyDescent="0.2">
      <c r="B59" s="471"/>
      <c r="C59" s="471"/>
      <c r="D59" s="471"/>
      <c r="E59" s="471"/>
      <c r="F59" s="471"/>
      <c r="G59" s="471"/>
      <c r="H59" s="471"/>
      <c r="I59" s="426">
        <f>H59*0.32</f>
        <v>0</v>
      </c>
      <c r="J59" s="12">
        <f>H59*0.68</f>
        <v>0</v>
      </c>
      <c r="K59" s="471"/>
      <c r="L59" s="63">
        <f t="shared" si="6"/>
        <v>102559.97000000002</v>
      </c>
    </row>
    <row r="60" spans="2:12" x14ac:dyDescent="0.2">
      <c r="B60" s="110"/>
      <c r="C60" s="353"/>
      <c r="D60" s="65"/>
      <c r="E60" s="471"/>
      <c r="F60" s="471"/>
      <c r="G60" s="471"/>
      <c r="H60" s="429"/>
      <c r="I60" s="426">
        <f t="shared" ref="I60" si="7">H60*0.32</f>
        <v>0</v>
      </c>
      <c r="J60" s="12">
        <f t="shared" ref="J60" si="8">H60*0.68</f>
        <v>0</v>
      </c>
      <c r="K60" s="471"/>
      <c r="L60" s="63">
        <f t="shared" si="6"/>
        <v>102559.97000000002</v>
      </c>
    </row>
    <row r="61" spans="2:12" x14ac:dyDescent="0.2">
      <c r="B61" s="471"/>
      <c r="C61" s="471"/>
      <c r="D61" s="471"/>
      <c r="E61" s="471"/>
      <c r="F61" s="471"/>
      <c r="G61" s="471"/>
      <c r="H61" s="471"/>
      <c r="I61" s="471"/>
      <c r="J61" s="471"/>
      <c r="K61" s="471"/>
      <c r="L61" s="63">
        <f t="shared" si="6"/>
        <v>102559.97000000002</v>
      </c>
    </row>
    <row r="62" spans="2:12" x14ac:dyDescent="0.2">
      <c r="B62" s="547" t="s">
        <v>12</v>
      </c>
      <c r="C62" s="548"/>
      <c r="D62" s="548"/>
      <c r="E62" s="548"/>
      <c r="F62" s="548"/>
      <c r="G62" s="548"/>
      <c r="H62" s="548"/>
      <c r="I62" s="548"/>
      <c r="J62" s="548"/>
      <c r="K62" s="549"/>
      <c r="L62" s="63">
        <f t="shared" si="6"/>
        <v>102559.97000000002</v>
      </c>
    </row>
    <row r="63" spans="2:12" x14ac:dyDescent="0.2">
      <c r="B63" s="552" t="s">
        <v>56</v>
      </c>
      <c r="C63" s="553"/>
      <c r="D63" s="554" t="s">
        <v>51</v>
      </c>
      <c r="E63" s="554"/>
      <c r="F63" s="554"/>
      <c r="G63" s="94"/>
      <c r="H63" s="95"/>
      <c r="I63" s="96"/>
      <c r="J63" s="96"/>
      <c r="K63" s="97"/>
      <c r="L63" s="63">
        <f t="shared" si="5"/>
        <v>102559.97000000002</v>
      </c>
    </row>
    <row r="64" spans="2:12" x14ac:dyDescent="0.2">
      <c r="B64" s="91" t="s">
        <v>1</v>
      </c>
      <c r="C64" s="92" t="s">
        <v>57</v>
      </c>
      <c r="D64" s="92" t="s">
        <v>2</v>
      </c>
      <c r="E64" s="474" t="s">
        <v>3</v>
      </c>
      <c r="F64" s="474" t="s">
        <v>4</v>
      </c>
      <c r="G64" s="561" t="s">
        <v>58</v>
      </c>
      <c r="H64" s="562"/>
      <c r="I64" s="562"/>
      <c r="J64" s="563"/>
      <c r="K64" s="90"/>
      <c r="L64" s="63">
        <f t="shared" si="5"/>
        <v>102559.97000000002</v>
      </c>
    </row>
    <row r="65" spans="2:14" s="507" customFormat="1" ht="11.25" customHeight="1" x14ac:dyDescent="0.2">
      <c r="B65" s="494"/>
      <c r="C65" s="490"/>
      <c r="D65" s="495"/>
      <c r="E65" s="492"/>
      <c r="F65" s="493"/>
      <c r="G65" s="505"/>
      <c r="H65" s="505"/>
      <c r="I65" s="505"/>
      <c r="J65" s="505"/>
      <c r="K65" s="488"/>
      <c r="L65" s="506">
        <f t="shared" si="5"/>
        <v>102559.97000000002</v>
      </c>
    </row>
    <row r="66" spans="2:14" s="507" customFormat="1" ht="29.25" customHeight="1" x14ac:dyDescent="0.2">
      <c r="B66" s="494"/>
      <c r="C66" s="490"/>
      <c r="D66" s="495"/>
      <c r="E66" s="490"/>
      <c r="F66" s="492"/>
      <c r="G66" s="505" t="s">
        <v>865</v>
      </c>
      <c r="H66" s="505" t="s">
        <v>866</v>
      </c>
      <c r="I66" s="505"/>
      <c r="J66" s="505"/>
      <c r="K66" s="499">
        <v>2000</v>
      </c>
      <c r="L66" s="506">
        <f t="shared" si="5"/>
        <v>100559.97000000002</v>
      </c>
    </row>
    <row r="67" spans="2:14" s="507" customFormat="1" ht="11.25" customHeight="1" x14ac:dyDescent="0.2">
      <c r="B67" s="494"/>
      <c r="C67" s="490"/>
      <c r="D67" s="495"/>
      <c r="E67" s="490"/>
      <c r="F67" s="492"/>
      <c r="G67" s="505"/>
      <c r="H67" s="505" t="s">
        <v>867</v>
      </c>
      <c r="I67" s="505"/>
      <c r="J67" s="505"/>
      <c r="K67" s="499">
        <v>2000</v>
      </c>
      <c r="L67" s="506">
        <f t="shared" si="5"/>
        <v>98559.970000000016</v>
      </c>
    </row>
    <row r="68" spans="2:14" s="507" customFormat="1" ht="11.25" customHeight="1" x14ac:dyDescent="0.2">
      <c r="B68" s="494"/>
      <c r="C68" s="490"/>
      <c r="D68" s="495"/>
      <c r="E68" s="490"/>
      <c r="F68" s="492"/>
      <c r="G68" s="505"/>
      <c r="H68" s="505" t="s">
        <v>579</v>
      </c>
      <c r="I68" s="505"/>
      <c r="J68" s="505"/>
      <c r="K68" s="488">
        <v>1000</v>
      </c>
      <c r="L68" s="506">
        <f t="shared" si="5"/>
        <v>97559.970000000016</v>
      </c>
    </row>
    <row r="69" spans="2:14" s="507" customFormat="1" ht="11.25" customHeight="1" x14ac:dyDescent="0.2">
      <c r="B69" s="494"/>
      <c r="C69" s="490"/>
      <c r="D69" s="495"/>
      <c r="E69" s="490"/>
      <c r="F69" s="492"/>
      <c r="G69" s="485"/>
      <c r="H69" s="508" t="s">
        <v>868</v>
      </c>
      <c r="I69" s="508"/>
      <c r="J69" s="508"/>
      <c r="K69" s="488">
        <v>1000</v>
      </c>
      <c r="L69" s="506">
        <f t="shared" si="5"/>
        <v>96559.970000000016</v>
      </c>
    </row>
    <row r="70" spans="2:14" s="507" customFormat="1" ht="11.25" customHeight="1" x14ac:dyDescent="0.2">
      <c r="B70" s="494"/>
      <c r="C70" s="490"/>
      <c r="D70" s="495"/>
      <c r="E70" s="490"/>
      <c r="F70" s="492"/>
      <c r="G70" s="485"/>
      <c r="H70" s="508" t="s">
        <v>869</v>
      </c>
      <c r="I70" s="508"/>
      <c r="J70" s="508"/>
      <c r="K70" s="488">
        <v>500</v>
      </c>
      <c r="L70" s="506">
        <f t="shared" si="5"/>
        <v>96059.970000000016</v>
      </c>
    </row>
    <row r="71" spans="2:14" x14ac:dyDescent="0.2">
      <c r="B71" s="64"/>
      <c r="C71" s="65"/>
      <c r="D71" s="77"/>
      <c r="E71" s="3"/>
      <c r="F71" s="13"/>
      <c r="G71" s="404"/>
      <c r="H71" s="404" t="s">
        <v>870</v>
      </c>
      <c r="I71" s="404"/>
      <c r="J71" s="12"/>
      <c r="K71" s="12">
        <v>1000</v>
      </c>
      <c r="L71" s="63">
        <f t="shared" si="5"/>
        <v>95059.970000000016</v>
      </c>
    </row>
    <row r="72" spans="2:14" x14ac:dyDescent="0.2">
      <c r="B72" s="64"/>
      <c r="C72" s="65"/>
      <c r="D72" s="65"/>
      <c r="E72" s="13"/>
      <c r="F72" s="13"/>
      <c r="G72" s="81"/>
      <c r="H72" s="62"/>
      <c r="I72" s="12"/>
      <c r="J72" s="12"/>
      <c r="K72" s="12"/>
      <c r="L72" s="63">
        <f t="shared" ref="L72" si="9">+J72-K72+L71</f>
        <v>95059.970000000016</v>
      </c>
    </row>
    <row r="73" spans="2:14" ht="12.75" thickBot="1" x14ac:dyDescent="0.25">
      <c r="B73" s="64"/>
      <c r="C73" s="65"/>
      <c r="D73" s="65"/>
      <c r="E73" s="13"/>
      <c r="F73" s="13"/>
      <c r="G73" s="104"/>
      <c r="H73" s="84"/>
      <c r="I73" s="12"/>
      <c r="J73" s="12"/>
      <c r="K73" s="12"/>
      <c r="L73" s="63"/>
    </row>
    <row r="74" spans="2:14" x14ac:dyDescent="0.2">
      <c r="B74" s="56"/>
      <c r="C74" s="57"/>
      <c r="D74" s="57"/>
      <c r="E74" s="5"/>
      <c r="F74" s="5"/>
      <c r="G74" s="85" t="s">
        <v>0</v>
      </c>
      <c r="H74" s="107">
        <f>SUM(H7:H61)</f>
        <v>41535</v>
      </c>
      <c r="I74" s="105">
        <f>SUM(I7:I60)</f>
        <v>13291.199999999999</v>
      </c>
      <c r="J74" s="106">
        <f>SUM(J7:J60)</f>
        <v>28243.800000000003</v>
      </c>
      <c r="K74" s="106">
        <f>SUM(K65:K71)</f>
        <v>7500</v>
      </c>
      <c r="L74" s="108"/>
      <c r="N74" s="396"/>
    </row>
    <row r="75" spans="2:14" ht="12.75" thickBot="1" x14ac:dyDescent="0.25">
      <c r="B75" s="71"/>
      <c r="C75" s="72"/>
      <c r="D75" s="72"/>
      <c r="E75" s="73"/>
      <c r="F75" s="73"/>
      <c r="G75" s="86" t="s">
        <v>13</v>
      </c>
      <c r="H75" s="100"/>
      <c r="I75" s="99"/>
      <c r="J75" s="87"/>
      <c r="K75" s="87"/>
      <c r="L75" s="88">
        <f>+J74-K74+L6</f>
        <v>95059.970000000045</v>
      </c>
    </row>
    <row r="76" spans="2:14" x14ac:dyDescent="0.2">
      <c r="H76" s="74"/>
      <c r="I76" s="25"/>
    </row>
    <row r="77" spans="2:14" ht="12" customHeight="1" x14ac:dyDescent="0.2">
      <c r="B77" s="544" t="s">
        <v>48</v>
      </c>
      <c r="C77" s="545"/>
      <c r="D77" s="545"/>
      <c r="E77" s="545"/>
      <c r="F77" s="545"/>
      <c r="G77" s="545"/>
      <c r="H77" s="545"/>
      <c r="I77" s="545"/>
      <c r="J77" s="545"/>
      <c r="K77" s="545"/>
      <c r="L77" s="546"/>
      <c r="M77" s="25"/>
    </row>
    <row r="78" spans="2:14" x14ac:dyDescent="0.2">
      <c r="B78" s="547" t="s">
        <v>87</v>
      </c>
      <c r="C78" s="548"/>
      <c r="D78" s="548"/>
      <c r="E78" s="548"/>
      <c r="F78" s="548"/>
      <c r="G78" s="548"/>
      <c r="H78" s="548"/>
      <c r="I78" s="548"/>
      <c r="J78" s="548"/>
      <c r="K78" s="548"/>
      <c r="L78" s="549"/>
      <c r="M78" s="25"/>
    </row>
    <row r="79" spans="2:14" x14ac:dyDescent="0.2">
      <c r="B79" s="550" t="s">
        <v>50</v>
      </c>
      <c r="C79" s="550"/>
      <c r="D79" s="551" t="s">
        <v>51</v>
      </c>
      <c r="E79" s="551"/>
      <c r="F79" s="551"/>
      <c r="G79" s="472"/>
      <c r="H79" s="472"/>
      <c r="I79" s="472"/>
      <c r="J79" s="472"/>
      <c r="K79" s="472"/>
      <c r="L79" s="473"/>
      <c r="M79" s="25"/>
    </row>
    <row r="80" spans="2:14" ht="24" x14ac:dyDescent="0.2">
      <c r="B80" s="56" t="s">
        <v>1</v>
      </c>
      <c r="C80" s="57" t="s">
        <v>2</v>
      </c>
      <c r="D80" s="57" t="s">
        <v>2</v>
      </c>
      <c r="E80" s="5" t="s">
        <v>3</v>
      </c>
      <c r="F80" s="5" t="s">
        <v>4</v>
      </c>
      <c r="G80" s="89" t="s">
        <v>6</v>
      </c>
      <c r="H80" s="83" t="s">
        <v>7</v>
      </c>
      <c r="I80" s="83" t="s">
        <v>52</v>
      </c>
      <c r="J80" s="83" t="s">
        <v>53</v>
      </c>
      <c r="K80" s="5" t="s">
        <v>10</v>
      </c>
      <c r="L80" s="5" t="s">
        <v>11</v>
      </c>
    </row>
    <row r="81" spans="2:14" ht="12" customHeight="1" x14ac:dyDescent="0.2">
      <c r="B81" s="58"/>
      <c r="C81" s="59"/>
      <c r="D81" s="59"/>
      <c r="E81" s="13"/>
      <c r="F81" s="13"/>
      <c r="G81" s="24"/>
      <c r="H81" s="60"/>
      <c r="I81" s="61"/>
      <c r="J81" s="61"/>
      <c r="K81" s="61"/>
      <c r="L81" s="60">
        <f>L75</f>
        <v>95059.970000000045</v>
      </c>
    </row>
    <row r="82" spans="2:14" x14ac:dyDescent="0.2">
      <c r="B82" s="110">
        <v>44228</v>
      </c>
      <c r="C82" s="111"/>
      <c r="D82" s="11"/>
      <c r="E82" s="15"/>
      <c r="F82" s="13"/>
      <c r="G82" s="59" t="s">
        <v>860</v>
      </c>
      <c r="H82" s="112">
        <v>390</v>
      </c>
      <c r="I82" s="12">
        <f>H82*0.32</f>
        <v>124.8</v>
      </c>
      <c r="J82" s="12">
        <f>H82*0.68</f>
        <v>265.20000000000005</v>
      </c>
      <c r="K82" s="12"/>
      <c r="L82" s="63">
        <f>+J82-K82+L81</f>
        <v>95325.170000000042</v>
      </c>
      <c r="M82" s="417"/>
    </row>
    <row r="83" spans="2:14" ht="13.5" customHeight="1" x14ac:dyDescent="0.2">
      <c r="B83" s="110">
        <v>44229</v>
      </c>
      <c r="C83" s="111"/>
      <c r="D83" s="11"/>
      <c r="E83" s="15"/>
      <c r="F83" s="13"/>
      <c r="G83" s="59" t="s">
        <v>860</v>
      </c>
      <c r="H83" s="112">
        <v>661</v>
      </c>
      <c r="I83" s="12">
        <f t="shared" ref="I83:I131" si="10">H83*0.32</f>
        <v>211.52</v>
      </c>
      <c r="J83" s="12">
        <f t="shared" ref="J83:J131" si="11">H83*0.68</f>
        <v>449.48</v>
      </c>
      <c r="K83" s="12"/>
      <c r="L83" s="63">
        <f>+J83-K83+L82</f>
        <v>95774.650000000038</v>
      </c>
      <c r="M83" s="417"/>
      <c r="N83" s="417"/>
    </row>
    <row r="84" spans="2:14" x14ac:dyDescent="0.2">
      <c r="B84" s="110">
        <v>44230</v>
      </c>
      <c r="C84" s="111"/>
      <c r="D84" s="11"/>
      <c r="E84" s="15"/>
      <c r="F84" s="13"/>
      <c r="G84" s="59" t="s">
        <v>860</v>
      </c>
      <c r="H84" s="112">
        <v>642</v>
      </c>
      <c r="I84" s="12">
        <f t="shared" si="10"/>
        <v>205.44</v>
      </c>
      <c r="J84" s="12">
        <f t="shared" si="11"/>
        <v>436.56000000000006</v>
      </c>
      <c r="K84" s="12"/>
      <c r="L84" s="63">
        <f t="shared" ref="L84:L148" si="12">+J84-K84+L83</f>
        <v>96211.210000000036</v>
      </c>
      <c r="M84" s="417"/>
      <c r="N84" s="417"/>
    </row>
    <row r="85" spans="2:14" x14ac:dyDescent="0.2">
      <c r="B85" s="110">
        <v>44231</v>
      </c>
      <c r="C85" s="111"/>
      <c r="D85" s="77"/>
      <c r="E85" s="15"/>
      <c r="F85" s="13"/>
      <c r="G85" s="59" t="s">
        <v>860</v>
      </c>
      <c r="H85" s="112">
        <v>250</v>
      </c>
      <c r="I85" s="12">
        <f t="shared" si="10"/>
        <v>80</v>
      </c>
      <c r="J85" s="12">
        <f t="shared" si="11"/>
        <v>170</v>
      </c>
      <c r="K85" s="12"/>
      <c r="L85" s="63">
        <f>+J85-K85+L84</f>
        <v>96381.210000000036</v>
      </c>
      <c r="M85" s="417"/>
      <c r="N85" s="417"/>
    </row>
    <row r="86" spans="2:14" x14ac:dyDescent="0.2">
      <c r="B86" s="110">
        <v>44232</v>
      </c>
      <c r="C86" s="111"/>
      <c r="D86" s="11"/>
      <c r="E86" s="15"/>
      <c r="F86" s="67"/>
      <c r="G86" s="59" t="s">
        <v>860</v>
      </c>
      <c r="H86" s="112">
        <v>293</v>
      </c>
      <c r="I86" s="12">
        <f t="shared" si="10"/>
        <v>93.76</v>
      </c>
      <c r="J86" s="12">
        <f t="shared" si="11"/>
        <v>199.24</v>
      </c>
      <c r="K86" s="12"/>
      <c r="L86" s="63">
        <f t="shared" si="12"/>
        <v>96580.450000000041</v>
      </c>
      <c r="M86" s="417"/>
      <c r="N86" s="417"/>
    </row>
    <row r="87" spans="2:14" x14ac:dyDescent="0.2">
      <c r="B87" s="110">
        <v>44233</v>
      </c>
      <c r="C87" s="111"/>
      <c r="D87" s="11"/>
      <c r="E87" s="15"/>
      <c r="F87" s="67"/>
      <c r="G87" s="59" t="s">
        <v>860</v>
      </c>
      <c r="H87" s="112">
        <v>1230</v>
      </c>
      <c r="I87" s="12">
        <f t="shared" si="10"/>
        <v>393.6</v>
      </c>
      <c r="J87" s="12">
        <f t="shared" si="11"/>
        <v>836.40000000000009</v>
      </c>
      <c r="K87" s="12"/>
      <c r="L87" s="63">
        <f t="shared" si="12"/>
        <v>97416.850000000035</v>
      </c>
      <c r="M87" s="417"/>
      <c r="N87" s="417"/>
    </row>
    <row r="88" spans="2:14" x14ac:dyDescent="0.2">
      <c r="B88" s="110">
        <v>44235</v>
      </c>
      <c r="C88" s="111"/>
      <c r="D88" s="11"/>
      <c r="E88" s="15"/>
      <c r="F88" s="67"/>
      <c r="G88" s="59" t="s">
        <v>860</v>
      </c>
      <c r="H88" s="112">
        <v>289</v>
      </c>
      <c r="I88" s="12">
        <f t="shared" si="10"/>
        <v>92.48</v>
      </c>
      <c r="J88" s="12">
        <f t="shared" si="11"/>
        <v>196.52</v>
      </c>
      <c r="K88" s="12"/>
      <c r="L88" s="63">
        <f t="shared" si="12"/>
        <v>97613.370000000039</v>
      </c>
      <c r="M88" s="417"/>
      <c r="N88" s="417"/>
    </row>
    <row r="89" spans="2:14" x14ac:dyDescent="0.2">
      <c r="B89" s="110">
        <v>44236</v>
      </c>
      <c r="C89" s="111"/>
      <c r="D89" s="11"/>
      <c r="E89" s="15"/>
      <c r="F89" s="67"/>
      <c r="G89" s="59" t="s">
        <v>860</v>
      </c>
      <c r="H89" s="112">
        <v>400</v>
      </c>
      <c r="I89" s="12">
        <f t="shared" si="10"/>
        <v>128</v>
      </c>
      <c r="J89" s="12">
        <f t="shared" si="11"/>
        <v>272</v>
      </c>
      <c r="K89" s="12"/>
      <c r="L89" s="63">
        <f t="shared" si="12"/>
        <v>97885.370000000039</v>
      </c>
      <c r="M89" s="417"/>
      <c r="N89" s="417"/>
    </row>
    <row r="90" spans="2:14" x14ac:dyDescent="0.2">
      <c r="B90" s="110">
        <v>44238</v>
      </c>
      <c r="C90" s="111"/>
      <c r="D90" s="11"/>
      <c r="E90" s="15"/>
      <c r="F90" s="67"/>
      <c r="G90" s="59" t="s">
        <v>860</v>
      </c>
      <c r="H90" s="112">
        <v>20</v>
      </c>
      <c r="I90" s="12">
        <f t="shared" si="10"/>
        <v>6.4</v>
      </c>
      <c r="J90" s="12">
        <f t="shared" si="11"/>
        <v>13.600000000000001</v>
      </c>
      <c r="K90" s="12"/>
      <c r="L90" s="63">
        <f t="shared" si="12"/>
        <v>97898.970000000045</v>
      </c>
      <c r="M90" s="417"/>
      <c r="N90" s="417"/>
    </row>
    <row r="91" spans="2:14" x14ac:dyDescent="0.2">
      <c r="B91" s="110">
        <v>44239</v>
      </c>
      <c r="C91" s="111"/>
      <c r="D91" s="11"/>
      <c r="E91" s="15"/>
      <c r="F91" s="67"/>
      <c r="G91" s="59" t="s">
        <v>860</v>
      </c>
      <c r="H91" s="112">
        <v>580</v>
      </c>
      <c r="I91" s="12">
        <f t="shared" si="10"/>
        <v>185.6</v>
      </c>
      <c r="J91" s="12">
        <f t="shared" si="11"/>
        <v>394.40000000000003</v>
      </c>
      <c r="K91" s="12"/>
      <c r="L91" s="63">
        <f t="shared" si="12"/>
        <v>98293.370000000039</v>
      </c>
      <c r="M91" s="417"/>
      <c r="N91" s="417"/>
    </row>
    <row r="92" spans="2:14" x14ac:dyDescent="0.2">
      <c r="B92" s="110">
        <v>44240</v>
      </c>
      <c r="C92" s="111"/>
      <c r="D92" s="11"/>
      <c r="E92" s="15"/>
      <c r="F92" s="67"/>
      <c r="G92" s="59" t="s">
        <v>860</v>
      </c>
      <c r="H92" s="112">
        <v>200</v>
      </c>
      <c r="I92" s="12">
        <f t="shared" si="10"/>
        <v>64</v>
      </c>
      <c r="J92" s="12">
        <f t="shared" si="11"/>
        <v>136</v>
      </c>
      <c r="K92" s="12"/>
      <c r="L92" s="63">
        <f t="shared" si="12"/>
        <v>98429.370000000039</v>
      </c>
      <c r="M92" s="417"/>
      <c r="N92" s="417"/>
    </row>
    <row r="93" spans="2:14" x14ac:dyDescent="0.2">
      <c r="B93" s="110">
        <v>44242</v>
      </c>
      <c r="C93" s="111"/>
      <c r="D93" s="11"/>
      <c r="E93" s="15"/>
      <c r="F93" s="67"/>
      <c r="G93" s="59" t="s">
        <v>860</v>
      </c>
      <c r="H93" s="112">
        <v>580</v>
      </c>
      <c r="I93" s="12">
        <f t="shared" ref="I93" si="13">H93*0.32</f>
        <v>185.6</v>
      </c>
      <c r="J93" s="12">
        <f t="shared" ref="J93" si="14">H93*0.68</f>
        <v>394.40000000000003</v>
      </c>
      <c r="K93" s="12"/>
      <c r="L93" s="63">
        <f t="shared" ref="L93:L94" si="15">+J93-K93+L92</f>
        <v>98823.770000000033</v>
      </c>
      <c r="M93" s="417"/>
      <c r="N93" s="417"/>
    </row>
    <row r="94" spans="2:14" x14ac:dyDescent="0.2">
      <c r="B94" s="110">
        <v>44244</v>
      </c>
      <c r="C94" s="111"/>
      <c r="D94" s="11"/>
      <c r="E94" s="15"/>
      <c r="F94" s="67"/>
      <c r="G94" s="59" t="s">
        <v>860</v>
      </c>
      <c r="H94" s="112">
        <v>770</v>
      </c>
      <c r="I94" s="12">
        <f t="shared" si="10"/>
        <v>246.4</v>
      </c>
      <c r="J94" s="12">
        <f t="shared" si="11"/>
        <v>523.6</v>
      </c>
      <c r="K94" s="12"/>
      <c r="L94" s="63">
        <f t="shared" si="15"/>
        <v>99347.370000000039</v>
      </c>
      <c r="M94" s="417"/>
      <c r="N94" s="417"/>
    </row>
    <row r="95" spans="2:14" x14ac:dyDescent="0.2">
      <c r="B95" s="110">
        <v>44245</v>
      </c>
      <c r="C95" s="111"/>
      <c r="D95" s="11"/>
      <c r="E95" s="15"/>
      <c r="F95" s="67"/>
      <c r="G95" s="59" t="s">
        <v>860</v>
      </c>
      <c r="H95" s="112">
        <v>200</v>
      </c>
      <c r="I95" s="12">
        <f t="shared" si="10"/>
        <v>64</v>
      </c>
      <c r="J95" s="12">
        <f t="shared" si="11"/>
        <v>136</v>
      </c>
      <c r="K95" s="12"/>
      <c r="L95" s="63">
        <f t="shared" si="12"/>
        <v>99483.370000000039</v>
      </c>
      <c r="M95" s="417"/>
      <c r="N95" s="417"/>
    </row>
    <row r="96" spans="2:14" x14ac:dyDescent="0.2">
      <c r="B96" s="110">
        <v>44246</v>
      </c>
      <c r="C96" s="111"/>
      <c r="D96" s="11"/>
      <c r="E96" s="15"/>
      <c r="F96" s="67"/>
      <c r="G96" s="59" t="s">
        <v>860</v>
      </c>
      <c r="H96" s="112">
        <v>1465</v>
      </c>
      <c r="I96" s="12">
        <f t="shared" si="10"/>
        <v>468.8</v>
      </c>
      <c r="J96" s="12">
        <f t="shared" si="11"/>
        <v>996.2</v>
      </c>
      <c r="K96" s="12"/>
      <c r="L96" s="63">
        <f t="shared" si="12"/>
        <v>100479.57000000004</v>
      </c>
      <c r="M96" s="417"/>
      <c r="N96" s="417"/>
    </row>
    <row r="97" spans="2:14" x14ac:dyDescent="0.2">
      <c r="B97" s="110">
        <v>44247</v>
      </c>
      <c r="C97" s="111"/>
      <c r="D97" s="77"/>
      <c r="E97" s="15"/>
      <c r="F97" s="13"/>
      <c r="G97" s="59" t="s">
        <v>860</v>
      </c>
      <c r="H97" s="112">
        <v>100</v>
      </c>
      <c r="I97" s="12">
        <f t="shared" si="10"/>
        <v>32</v>
      </c>
      <c r="J97" s="12">
        <f t="shared" si="11"/>
        <v>68</v>
      </c>
      <c r="K97" s="12"/>
      <c r="L97" s="63">
        <f t="shared" si="12"/>
        <v>100547.57000000004</v>
      </c>
      <c r="M97" s="417"/>
      <c r="N97" s="417"/>
    </row>
    <row r="98" spans="2:14" x14ac:dyDescent="0.2">
      <c r="B98" s="110">
        <v>44249</v>
      </c>
      <c r="C98" s="111"/>
      <c r="D98" s="77"/>
      <c r="E98" s="15"/>
      <c r="F98" s="13"/>
      <c r="G98" s="59" t="s">
        <v>860</v>
      </c>
      <c r="H98" s="112">
        <v>1138</v>
      </c>
      <c r="I98" s="12">
        <f t="shared" si="10"/>
        <v>364.16</v>
      </c>
      <c r="J98" s="12">
        <f t="shared" si="11"/>
        <v>773.84</v>
      </c>
      <c r="K98" s="12"/>
      <c r="L98" s="63">
        <f t="shared" si="12"/>
        <v>101321.41000000003</v>
      </c>
      <c r="M98" s="417"/>
      <c r="N98" s="417"/>
    </row>
    <row r="99" spans="2:14" x14ac:dyDescent="0.2">
      <c r="B99" s="110">
        <v>44250</v>
      </c>
      <c r="C99" s="111"/>
      <c r="D99" s="77"/>
      <c r="E99" s="15"/>
      <c r="F99" s="13"/>
      <c r="G99" s="59" t="s">
        <v>860</v>
      </c>
      <c r="H99" s="112">
        <v>695</v>
      </c>
      <c r="I99" s="12">
        <f t="shared" si="10"/>
        <v>222.4</v>
      </c>
      <c r="J99" s="12">
        <f t="shared" si="11"/>
        <v>472.6</v>
      </c>
      <c r="K99" s="12"/>
      <c r="L99" s="63">
        <f t="shared" si="12"/>
        <v>101794.01000000004</v>
      </c>
      <c r="M99" s="417"/>
      <c r="N99" s="417"/>
    </row>
    <row r="100" spans="2:14" x14ac:dyDescent="0.2">
      <c r="B100" s="110">
        <v>44251</v>
      </c>
      <c r="C100" s="111"/>
      <c r="D100" s="77"/>
      <c r="E100" s="15"/>
      <c r="F100" s="13"/>
      <c r="G100" s="59" t="s">
        <v>860</v>
      </c>
      <c r="H100" s="112">
        <v>1141</v>
      </c>
      <c r="I100" s="12">
        <f t="shared" si="10"/>
        <v>365.12</v>
      </c>
      <c r="J100" s="12">
        <f t="shared" si="11"/>
        <v>775.88000000000011</v>
      </c>
      <c r="K100" s="12"/>
      <c r="L100" s="63">
        <f t="shared" si="12"/>
        <v>102569.89000000004</v>
      </c>
      <c r="M100" s="417"/>
      <c r="N100" s="417"/>
    </row>
    <row r="101" spans="2:14" x14ac:dyDescent="0.2">
      <c r="B101" s="110">
        <v>44252</v>
      </c>
      <c r="C101" s="111"/>
      <c r="D101" s="11"/>
      <c r="E101" s="15"/>
      <c r="F101" s="13"/>
      <c r="G101" s="59" t="s">
        <v>860</v>
      </c>
      <c r="H101" s="112">
        <v>875</v>
      </c>
      <c r="I101" s="12">
        <f t="shared" si="10"/>
        <v>280</v>
      </c>
      <c r="J101" s="12">
        <f t="shared" si="11"/>
        <v>595</v>
      </c>
      <c r="K101" s="12"/>
      <c r="L101" s="63">
        <f t="shared" si="12"/>
        <v>103164.89000000004</v>
      </c>
      <c r="M101" s="417"/>
      <c r="N101" s="417"/>
    </row>
    <row r="102" spans="2:14" x14ac:dyDescent="0.2">
      <c r="B102" s="110">
        <v>44253</v>
      </c>
      <c r="C102" s="111"/>
      <c r="D102" s="11"/>
      <c r="E102" s="15"/>
      <c r="F102" s="13"/>
      <c r="G102" s="59" t="s">
        <v>860</v>
      </c>
      <c r="H102" s="112">
        <v>1398</v>
      </c>
      <c r="I102" s="12">
        <f t="shared" si="10"/>
        <v>447.36</v>
      </c>
      <c r="J102" s="12">
        <f t="shared" si="11"/>
        <v>950.6400000000001</v>
      </c>
      <c r="K102" s="12"/>
      <c r="L102" s="63">
        <f t="shared" si="12"/>
        <v>104115.53000000004</v>
      </c>
      <c r="M102" s="25"/>
      <c r="N102" s="417"/>
    </row>
    <row r="103" spans="2:14" x14ac:dyDescent="0.2">
      <c r="B103" s="110">
        <v>44254</v>
      </c>
      <c r="C103" s="111"/>
      <c r="D103" s="11"/>
      <c r="E103" s="15"/>
      <c r="F103" s="13"/>
      <c r="G103" s="59" t="s">
        <v>860</v>
      </c>
      <c r="H103" s="112">
        <v>1385</v>
      </c>
      <c r="I103" s="12">
        <f t="shared" si="10"/>
        <v>443.2</v>
      </c>
      <c r="J103" s="12">
        <f t="shared" si="11"/>
        <v>941.80000000000007</v>
      </c>
      <c r="K103" s="12"/>
      <c r="L103" s="63">
        <f t="shared" si="12"/>
        <v>105057.33000000005</v>
      </c>
      <c r="M103" s="25"/>
      <c r="N103" s="417"/>
    </row>
    <row r="104" spans="2:14" x14ac:dyDescent="0.2">
      <c r="B104" s="110"/>
      <c r="C104" s="111"/>
      <c r="D104" s="11"/>
      <c r="E104" s="15"/>
      <c r="F104" s="13"/>
      <c r="G104" s="15"/>
      <c r="H104" s="112"/>
      <c r="I104" s="12">
        <f t="shared" si="10"/>
        <v>0</v>
      </c>
      <c r="J104" s="12">
        <f t="shared" si="11"/>
        <v>0</v>
      </c>
      <c r="K104" s="12"/>
      <c r="L104" s="63">
        <f t="shared" si="12"/>
        <v>105057.33000000005</v>
      </c>
      <c r="M104" s="25"/>
      <c r="N104" s="417"/>
    </row>
    <row r="105" spans="2:14" x14ac:dyDescent="0.2">
      <c r="B105" s="110"/>
      <c r="C105" s="111"/>
      <c r="D105" s="11"/>
      <c r="E105" s="15"/>
      <c r="F105" s="13"/>
      <c r="G105" s="15"/>
      <c r="H105" s="112"/>
      <c r="I105" s="12">
        <f t="shared" si="10"/>
        <v>0</v>
      </c>
      <c r="J105" s="12">
        <f t="shared" si="11"/>
        <v>0</v>
      </c>
      <c r="K105" s="12"/>
      <c r="L105" s="63">
        <f t="shared" si="12"/>
        <v>105057.33000000005</v>
      </c>
      <c r="M105" s="25"/>
    </row>
    <row r="106" spans="2:14" x14ac:dyDescent="0.2">
      <c r="B106" s="110"/>
      <c r="C106" s="405"/>
      <c r="D106" s="11"/>
      <c r="E106" s="15"/>
      <c r="F106" s="13"/>
      <c r="G106" s="15"/>
      <c r="H106" s="349"/>
      <c r="I106" s="12">
        <f t="shared" si="10"/>
        <v>0</v>
      </c>
      <c r="J106" s="12">
        <f t="shared" si="11"/>
        <v>0</v>
      </c>
      <c r="K106" s="12"/>
      <c r="L106" s="63">
        <f t="shared" si="12"/>
        <v>105057.33000000005</v>
      </c>
      <c r="M106" s="25"/>
    </row>
    <row r="107" spans="2:14" x14ac:dyDescent="0.2">
      <c r="B107" s="110"/>
      <c r="C107" s="405"/>
      <c r="D107" s="11"/>
      <c r="E107" s="15"/>
      <c r="F107" s="13"/>
      <c r="G107" s="15"/>
      <c r="H107" s="349"/>
      <c r="I107" s="12">
        <f t="shared" si="10"/>
        <v>0</v>
      </c>
      <c r="J107" s="12">
        <f t="shared" si="11"/>
        <v>0</v>
      </c>
      <c r="K107" s="12"/>
      <c r="L107" s="63">
        <f t="shared" si="12"/>
        <v>105057.33000000005</v>
      </c>
      <c r="M107" s="25"/>
    </row>
    <row r="108" spans="2:14" x14ac:dyDescent="0.2">
      <c r="B108" s="110"/>
      <c r="C108" s="405"/>
      <c r="D108" s="11"/>
      <c r="E108" s="15"/>
      <c r="F108" s="13"/>
      <c r="G108" s="15"/>
      <c r="H108" s="349"/>
      <c r="I108" s="12">
        <f t="shared" si="10"/>
        <v>0</v>
      </c>
      <c r="J108" s="12">
        <f t="shared" si="11"/>
        <v>0</v>
      </c>
      <c r="K108" s="12"/>
      <c r="L108" s="63">
        <f t="shared" si="12"/>
        <v>105057.33000000005</v>
      </c>
      <c r="M108" s="25"/>
    </row>
    <row r="109" spans="2:14" x14ac:dyDescent="0.2">
      <c r="B109" s="110"/>
      <c r="C109" s="405"/>
      <c r="D109" s="11"/>
      <c r="E109" s="15"/>
      <c r="F109" s="13"/>
      <c r="G109" s="15"/>
      <c r="H109" s="349"/>
      <c r="I109" s="12">
        <f t="shared" si="10"/>
        <v>0</v>
      </c>
      <c r="J109" s="12">
        <f t="shared" si="11"/>
        <v>0</v>
      </c>
      <c r="K109" s="12"/>
      <c r="L109" s="63">
        <f t="shared" si="12"/>
        <v>105057.33000000005</v>
      </c>
      <c r="M109" s="25"/>
    </row>
    <row r="110" spans="2:14" x14ac:dyDescent="0.2">
      <c r="B110" s="110"/>
      <c r="C110" s="405"/>
      <c r="D110" s="11"/>
      <c r="E110" s="15"/>
      <c r="F110" s="13"/>
      <c r="G110" s="15"/>
      <c r="H110" s="349"/>
      <c r="I110" s="12">
        <f t="shared" si="10"/>
        <v>0</v>
      </c>
      <c r="J110" s="12">
        <f t="shared" si="11"/>
        <v>0</v>
      </c>
      <c r="K110" s="12"/>
      <c r="L110" s="63">
        <f t="shared" si="12"/>
        <v>105057.33000000005</v>
      </c>
      <c r="M110" s="25"/>
    </row>
    <row r="111" spans="2:14" x14ac:dyDescent="0.2">
      <c r="B111" s="110"/>
      <c r="C111" s="405"/>
      <c r="D111" s="11"/>
      <c r="E111" s="15"/>
      <c r="F111" s="13"/>
      <c r="G111" s="15"/>
      <c r="H111" s="349"/>
      <c r="I111" s="12">
        <f t="shared" si="10"/>
        <v>0</v>
      </c>
      <c r="J111" s="12">
        <f t="shared" si="11"/>
        <v>0</v>
      </c>
      <c r="K111" s="12"/>
      <c r="L111" s="63">
        <f t="shared" si="12"/>
        <v>105057.33000000005</v>
      </c>
      <c r="M111" s="25"/>
    </row>
    <row r="112" spans="2:14" x14ac:dyDescent="0.2">
      <c r="B112" s="110"/>
      <c r="C112" s="405"/>
      <c r="D112" s="11"/>
      <c r="E112" s="15"/>
      <c r="F112" s="13"/>
      <c r="G112" s="15"/>
      <c r="H112" s="349"/>
      <c r="I112" s="12">
        <f t="shared" si="10"/>
        <v>0</v>
      </c>
      <c r="J112" s="12">
        <f t="shared" si="11"/>
        <v>0</v>
      </c>
      <c r="K112" s="12"/>
      <c r="L112" s="63">
        <f t="shared" si="12"/>
        <v>105057.33000000005</v>
      </c>
      <c r="M112" s="25"/>
    </row>
    <row r="113" spans="2:13" x14ac:dyDescent="0.2">
      <c r="B113" s="110"/>
      <c r="C113" s="405"/>
      <c r="D113" s="11"/>
      <c r="E113" s="15"/>
      <c r="F113" s="13"/>
      <c r="G113" s="15"/>
      <c r="H113" s="349"/>
      <c r="I113" s="12">
        <f t="shared" si="10"/>
        <v>0</v>
      </c>
      <c r="J113" s="12">
        <f t="shared" si="11"/>
        <v>0</v>
      </c>
      <c r="K113" s="12"/>
      <c r="L113" s="63">
        <f t="shared" si="12"/>
        <v>105057.33000000005</v>
      </c>
      <c r="M113" s="25"/>
    </row>
    <row r="114" spans="2:13" x14ac:dyDescent="0.2">
      <c r="B114" s="110"/>
      <c r="C114" s="405"/>
      <c r="D114" s="11"/>
      <c r="E114" s="15"/>
      <c r="F114" s="13"/>
      <c r="G114" s="15"/>
      <c r="H114" s="349"/>
      <c r="I114" s="12">
        <f t="shared" si="10"/>
        <v>0</v>
      </c>
      <c r="J114" s="12">
        <f t="shared" si="11"/>
        <v>0</v>
      </c>
      <c r="K114" s="12"/>
      <c r="L114" s="63">
        <f t="shared" si="12"/>
        <v>105057.33000000005</v>
      </c>
      <c r="M114" s="25"/>
    </row>
    <row r="115" spans="2:13" x14ac:dyDescent="0.2">
      <c r="B115" s="110"/>
      <c r="C115" s="405"/>
      <c r="D115" s="11"/>
      <c r="E115" s="15"/>
      <c r="F115" s="13"/>
      <c r="G115" s="15"/>
      <c r="H115" s="349"/>
      <c r="I115" s="12">
        <f t="shared" si="10"/>
        <v>0</v>
      </c>
      <c r="J115" s="12">
        <f t="shared" si="11"/>
        <v>0</v>
      </c>
      <c r="K115" s="12"/>
      <c r="L115" s="63">
        <f t="shared" si="12"/>
        <v>105057.33000000005</v>
      </c>
      <c r="M115" s="25"/>
    </row>
    <row r="116" spans="2:13" x14ac:dyDescent="0.2">
      <c r="B116" s="110"/>
      <c r="C116" s="405"/>
      <c r="D116" s="11"/>
      <c r="E116" s="15"/>
      <c r="F116" s="13"/>
      <c r="G116" s="15"/>
      <c r="H116" s="349"/>
      <c r="I116" s="12">
        <f t="shared" si="10"/>
        <v>0</v>
      </c>
      <c r="J116" s="12">
        <f t="shared" si="11"/>
        <v>0</v>
      </c>
      <c r="K116" s="12"/>
      <c r="L116" s="63">
        <f t="shared" si="12"/>
        <v>105057.33000000005</v>
      </c>
      <c r="M116" s="25"/>
    </row>
    <row r="117" spans="2:13" x14ac:dyDescent="0.2">
      <c r="B117" s="110"/>
      <c r="C117" s="405"/>
      <c r="D117" s="11"/>
      <c r="E117" s="15"/>
      <c r="F117" s="13"/>
      <c r="G117" s="15"/>
      <c r="H117" s="349"/>
      <c r="I117" s="12">
        <f t="shared" si="10"/>
        <v>0</v>
      </c>
      <c r="J117" s="12">
        <f t="shared" si="11"/>
        <v>0</v>
      </c>
      <c r="K117" s="12"/>
      <c r="L117" s="63">
        <f t="shared" si="12"/>
        <v>105057.33000000005</v>
      </c>
      <c r="M117" s="25"/>
    </row>
    <row r="118" spans="2:13" x14ac:dyDescent="0.2">
      <c r="B118" s="110"/>
      <c r="C118" s="405"/>
      <c r="D118" s="11"/>
      <c r="E118" s="15"/>
      <c r="F118" s="13"/>
      <c r="G118" s="15"/>
      <c r="H118" s="349"/>
      <c r="I118" s="12">
        <f t="shared" si="10"/>
        <v>0</v>
      </c>
      <c r="J118" s="12">
        <f t="shared" si="11"/>
        <v>0</v>
      </c>
      <c r="K118" s="12"/>
      <c r="L118" s="63">
        <f t="shared" si="12"/>
        <v>105057.33000000005</v>
      </c>
      <c r="M118" s="25"/>
    </row>
    <row r="119" spans="2:13" x14ac:dyDescent="0.2">
      <c r="B119" s="110"/>
      <c r="C119" s="405"/>
      <c r="D119" s="11"/>
      <c r="E119" s="15"/>
      <c r="F119" s="13"/>
      <c r="G119" s="15"/>
      <c r="H119" s="349"/>
      <c r="I119" s="12">
        <f t="shared" si="10"/>
        <v>0</v>
      </c>
      <c r="J119" s="12">
        <f t="shared" si="11"/>
        <v>0</v>
      </c>
      <c r="K119" s="12"/>
      <c r="L119" s="63">
        <f t="shared" si="12"/>
        <v>105057.33000000005</v>
      </c>
      <c r="M119" s="25"/>
    </row>
    <row r="120" spans="2:13" x14ac:dyDescent="0.2">
      <c r="B120" s="110"/>
      <c r="C120" s="405"/>
      <c r="D120" s="11"/>
      <c r="E120" s="15"/>
      <c r="F120" s="13"/>
      <c r="G120" s="15"/>
      <c r="H120" s="349"/>
      <c r="I120" s="12">
        <f t="shared" si="10"/>
        <v>0</v>
      </c>
      <c r="J120" s="12">
        <f t="shared" si="11"/>
        <v>0</v>
      </c>
      <c r="K120" s="12"/>
      <c r="L120" s="63">
        <f t="shared" si="12"/>
        <v>105057.33000000005</v>
      </c>
      <c r="M120" s="25"/>
    </row>
    <row r="121" spans="2:13" x14ac:dyDescent="0.2">
      <c r="B121" s="110"/>
      <c r="C121" s="405"/>
      <c r="D121" s="11"/>
      <c r="E121" s="15"/>
      <c r="F121" s="13"/>
      <c r="G121" s="15"/>
      <c r="H121" s="349"/>
      <c r="I121" s="12">
        <f t="shared" si="10"/>
        <v>0</v>
      </c>
      <c r="J121" s="12">
        <f t="shared" si="11"/>
        <v>0</v>
      </c>
      <c r="K121" s="12"/>
      <c r="L121" s="63">
        <f t="shared" si="12"/>
        <v>105057.33000000005</v>
      </c>
      <c r="M121" s="25"/>
    </row>
    <row r="122" spans="2:13" x14ac:dyDescent="0.2">
      <c r="B122" s="110"/>
      <c r="C122" s="405"/>
      <c r="D122" s="11"/>
      <c r="E122" s="15"/>
      <c r="F122" s="13"/>
      <c r="G122" s="15"/>
      <c r="H122" s="349"/>
      <c r="I122" s="12">
        <f t="shared" si="10"/>
        <v>0</v>
      </c>
      <c r="J122" s="12">
        <f t="shared" si="11"/>
        <v>0</v>
      </c>
      <c r="K122" s="12"/>
      <c r="L122" s="63">
        <f t="shared" si="12"/>
        <v>105057.33000000005</v>
      </c>
      <c r="M122" s="25"/>
    </row>
    <row r="123" spans="2:13" x14ac:dyDescent="0.2">
      <c r="B123" s="110"/>
      <c r="C123" s="405"/>
      <c r="D123" s="11"/>
      <c r="E123" s="15"/>
      <c r="F123" s="13"/>
      <c r="G123" s="15"/>
      <c r="H123" s="349"/>
      <c r="I123" s="12">
        <f t="shared" si="10"/>
        <v>0</v>
      </c>
      <c r="J123" s="12">
        <f t="shared" si="11"/>
        <v>0</v>
      </c>
      <c r="K123" s="12"/>
      <c r="L123" s="63">
        <f t="shared" si="12"/>
        <v>105057.33000000005</v>
      </c>
      <c r="M123" s="25"/>
    </row>
    <row r="124" spans="2:13" x14ac:dyDescent="0.2">
      <c r="B124" s="110"/>
      <c r="C124" s="405"/>
      <c r="D124" s="11"/>
      <c r="E124" s="15"/>
      <c r="F124" s="13"/>
      <c r="G124" s="15"/>
      <c r="H124" s="349"/>
      <c r="I124" s="12">
        <f t="shared" si="10"/>
        <v>0</v>
      </c>
      <c r="J124" s="12">
        <f t="shared" si="11"/>
        <v>0</v>
      </c>
      <c r="K124" s="12"/>
      <c r="L124" s="63">
        <f t="shared" si="12"/>
        <v>105057.33000000005</v>
      </c>
      <c r="M124" s="25"/>
    </row>
    <row r="125" spans="2:13" x14ac:dyDescent="0.2">
      <c r="B125" s="110"/>
      <c r="C125" s="405"/>
      <c r="D125" s="11"/>
      <c r="E125" s="15"/>
      <c r="F125" s="13"/>
      <c r="G125" s="15"/>
      <c r="H125" s="349"/>
      <c r="I125" s="12">
        <f t="shared" si="10"/>
        <v>0</v>
      </c>
      <c r="J125" s="12">
        <f t="shared" si="11"/>
        <v>0</v>
      </c>
      <c r="K125" s="12"/>
      <c r="L125" s="63">
        <f t="shared" si="12"/>
        <v>105057.33000000005</v>
      </c>
      <c r="M125" s="25"/>
    </row>
    <row r="126" spans="2:13" x14ac:dyDescent="0.2">
      <c r="B126" s="110"/>
      <c r="C126" s="405"/>
      <c r="D126" s="11"/>
      <c r="E126" s="15"/>
      <c r="F126" s="13"/>
      <c r="G126" s="15"/>
      <c r="H126" s="349"/>
      <c r="I126" s="12">
        <f t="shared" si="10"/>
        <v>0</v>
      </c>
      <c r="J126" s="12">
        <f t="shared" si="11"/>
        <v>0</v>
      </c>
      <c r="K126" s="12"/>
      <c r="L126" s="63">
        <f t="shared" si="12"/>
        <v>105057.33000000005</v>
      </c>
      <c r="M126" s="25"/>
    </row>
    <row r="127" spans="2:13" x14ac:dyDescent="0.2">
      <c r="B127" s="110"/>
      <c r="C127" s="405"/>
      <c r="D127" s="11"/>
      <c r="E127" s="15"/>
      <c r="F127" s="13"/>
      <c r="G127" s="15"/>
      <c r="H127" s="349"/>
      <c r="I127" s="12">
        <f t="shared" si="10"/>
        <v>0</v>
      </c>
      <c r="J127" s="12">
        <f t="shared" si="11"/>
        <v>0</v>
      </c>
      <c r="K127" s="12"/>
      <c r="L127" s="63">
        <f t="shared" si="12"/>
        <v>105057.33000000005</v>
      </c>
      <c r="M127" s="25"/>
    </row>
    <row r="128" spans="2:13" x14ac:dyDescent="0.2">
      <c r="B128" s="110"/>
      <c r="C128" s="405"/>
      <c r="D128" s="11"/>
      <c r="E128" s="15"/>
      <c r="F128" s="13"/>
      <c r="G128" s="15"/>
      <c r="H128" s="112"/>
      <c r="I128" s="12">
        <f t="shared" si="10"/>
        <v>0</v>
      </c>
      <c r="J128" s="12">
        <f t="shared" si="11"/>
        <v>0</v>
      </c>
      <c r="K128" s="12"/>
      <c r="L128" s="63">
        <f t="shared" si="12"/>
        <v>105057.33000000005</v>
      </c>
      <c r="M128" s="25"/>
    </row>
    <row r="129" spans="2:13" x14ac:dyDescent="0.2">
      <c r="B129" s="427"/>
      <c r="C129" s="428"/>
      <c r="D129" s="431"/>
      <c r="E129" s="432"/>
      <c r="F129" s="432"/>
      <c r="G129" s="433"/>
      <c r="H129" s="429"/>
      <c r="I129" s="12">
        <f t="shared" si="10"/>
        <v>0</v>
      </c>
      <c r="J129" s="12">
        <f t="shared" si="11"/>
        <v>0</v>
      </c>
      <c r="K129" s="12"/>
      <c r="L129" s="63">
        <f t="shared" si="12"/>
        <v>105057.33000000005</v>
      </c>
      <c r="M129" s="25"/>
    </row>
    <row r="130" spans="2:13" x14ac:dyDescent="0.2">
      <c r="B130" s="110"/>
      <c r="C130" s="405"/>
      <c r="D130" s="11"/>
      <c r="E130" s="15"/>
      <c r="F130" s="13"/>
      <c r="G130" s="15"/>
      <c r="H130" s="349"/>
      <c r="I130" s="12">
        <f t="shared" ref="I130" si="16">H130*0.32</f>
        <v>0</v>
      </c>
      <c r="J130" s="12">
        <f t="shared" ref="J130" si="17">H130*0.68</f>
        <v>0</v>
      </c>
      <c r="K130" s="12"/>
      <c r="L130" s="63">
        <f t="shared" si="12"/>
        <v>105057.33000000005</v>
      </c>
      <c r="M130" s="25"/>
    </row>
    <row r="131" spans="2:13" x14ac:dyDescent="0.2">
      <c r="B131" s="110"/>
      <c r="C131" s="353"/>
      <c r="D131" s="65"/>
      <c r="E131" s="15"/>
      <c r="F131" s="13"/>
      <c r="G131" s="15"/>
      <c r="H131" s="112"/>
      <c r="I131" s="12">
        <f t="shared" si="10"/>
        <v>0</v>
      </c>
      <c r="J131" s="12">
        <f t="shared" si="11"/>
        <v>0</v>
      </c>
      <c r="K131" s="12"/>
      <c r="L131" s="63">
        <f t="shared" si="12"/>
        <v>105057.33000000005</v>
      </c>
      <c r="M131" s="25"/>
    </row>
    <row r="132" spans="2:13" x14ac:dyDescent="0.2">
      <c r="B132" s="427"/>
      <c r="C132" s="428"/>
      <c r="D132" s="431"/>
      <c r="E132" s="432"/>
      <c r="F132" s="432"/>
      <c r="G132" s="433"/>
      <c r="H132" s="429"/>
      <c r="I132" s="430"/>
      <c r="J132" s="430"/>
      <c r="K132" s="430"/>
      <c r="L132" s="63">
        <f t="shared" si="12"/>
        <v>105057.33000000005</v>
      </c>
      <c r="M132" s="25"/>
    </row>
    <row r="133" spans="2:13" x14ac:dyDescent="0.2">
      <c r="B133" s="606" t="s">
        <v>88</v>
      </c>
      <c r="C133" s="607"/>
      <c r="D133" s="607"/>
      <c r="E133" s="607"/>
      <c r="F133" s="607"/>
      <c r="G133" s="607"/>
      <c r="H133" s="607"/>
      <c r="I133" s="607"/>
      <c r="J133" s="607"/>
      <c r="K133" s="608"/>
      <c r="L133" s="63">
        <f t="shared" si="12"/>
        <v>105057.33000000005</v>
      </c>
      <c r="M133" s="25"/>
    </row>
    <row r="134" spans="2:13" x14ac:dyDescent="0.2">
      <c r="B134" s="552" t="s">
        <v>56</v>
      </c>
      <c r="C134" s="553"/>
      <c r="D134" s="554" t="s">
        <v>51</v>
      </c>
      <c r="E134" s="554"/>
      <c r="F134" s="554"/>
      <c r="G134" s="94"/>
      <c r="H134" s="95"/>
      <c r="I134" s="96"/>
      <c r="J134" s="96"/>
      <c r="K134" s="97"/>
      <c r="L134" s="63">
        <f t="shared" si="12"/>
        <v>105057.33000000005</v>
      </c>
      <c r="M134" s="25"/>
    </row>
    <row r="135" spans="2:13" x14ac:dyDescent="0.2">
      <c r="B135" s="91" t="s">
        <v>1</v>
      </c>
      <c r="C135" s="92" t="s">
        <v>57</v>
      </c>
      <c r="D135" s="92" t="s">
        <v>2</v>
      </c>
      <c r="E135" s="474" t="s">
        <v>3</v>
      </c>
      <c r="F135" s="474" t="s">
        <v>4</v>
      </c>
      <c r="G135" s="561" t="s">
        <v>58</v>
      </c>
      <c r="H135" s="562"/>
      <c r="I135" s="562"/>
      <c r="J135" s="563"/>
      <c r="K135" s="90"/>
      <c r="L135" s="63">
        <f t="shared" si="12"/>
        <v>105057.33000000005</v>
      </c>
      <c r="M135" s="25"/>
    </row>
    <row r="136" spans="2:13" ht="12.75" customHeight="1" x14ac:dyDescent="0.2">
      <c r="B136" s="504"/>
      <c r="C136" s="495"/>
      <c r="D136" s="495"/>
      <c r="E136" s="492"/>
      <c r="F136" s="493"/>
      <c r="G136" s="505"/>
      <c r="H136" s="505"/>
      <c r="I136" s="505"/>
      <c r="J136" s="505"/>
      <c r="K136" s="488"/>
      <c r="L136" s="63">
        <f t="shared" si="12"/>
        <v>105057.33000000005</v>
      </c>
      <c r="M136" s="25"/>
    </row>
    <row r="137" spans="2:13" ht="23.25" customHeight="1" x14ac:dyDescent="0.2">
      <c r="B137" s="494"/>
      <c r="C137" s="490"/>
      <c r="D137" s="490"/>
      <c r="E137" s="492"/>
      <c r="F137" s="493"/>
      <c r="G137" s="505" t="s">
        <v>871</v>
      </c>
      <c r="H137" s="505" t="s">
        <v>866</v>
      </c>
      <c r="I137" s="505"/>
      <c r="J137" s="505"/>
      <c r="K137" s="499">
        <v>2000</v>
      </c>
      <c r="L137" s="63">
        <f t="shared" si="12"/>
        <v>103057.33000000005</v>
      </c>
      <c r="M137" s="25"/>
    </row>
    <row r="138" spans="2:13" ht="12.75" customHeight="1" x14ac:dyDescent="0.2">
      <c r="B138" s="489"/>
      <c r="C138" s="491"/>
      <c r="D138" s="491"/>
      <c r="E138" s="492"/>
      <c r="F138" s="493"/>
      <c r="G138" s="505"/>
      <c r="H138" s="505" t="s">
        <v>867</v>
      </c>
      <c r="I138" s="505"/>
      <c r="J138" s="505"/>
      <c r="K138" s="499">
        <v>2000</v>
      </c>
      <c r="L138" s="63">
        <f t="shared" si="12"/>
        <v>101057.33000000005</v>
      </c>
      <c r="M138" s="25"/>
    </row>
    <row r="139" spans="2:13" ht="12.75" customHeight="1" x14ac:dyDescent="0.2">
      <c r="B139" s="489"/>
      <c r="C139" s="491"/>
      <c r="D139" s="491"/>
      <c r="E139" s="492"/>
      <c r="F139" s="493"/>
      <c r="G139" s="505"/>
      <c r="H139" s="505" t="s">
        <v>579</v>
      </c>
      <c r="I139" s="505"/>
      <c r="J139" s="505"/>
      <c r="K139" s="488">
        <v>1000</v>
      </c>
      <c r="L139" s="63">
        <f t="shared" si="12"/>
        <v>100057.33000000005</v>
      </c>
      <c r="M139" s="25"/>
    </row>
    <row r="140" spans="2:13" ht="12.75" customHeight="1" x14ac:dyDescent="0.2">
      <c r="B140" s="489"/>
      <c r="C140" s="491"/>
      <c r="D140" s="491"/>
      <c r="E140" s="492"/>
      <c r="F140" s="493"/>
      <c r="G140" s="485"/>
      <c r="H140" s="508" t="s">
        <v>868</v>
      </c>
      <c r="I140" s="508"/>
      <c r="J140" s="508"/>
      <c r="K140" s="488">
        <v>1000</v>
      </c>
      <c r="L140" s="63">
        <f t="shared" si="12"/>
        <v>99057.330000000045</v>
      </c>
      <c r="M140" s="25"/>
    </row>
    <row r="141" spans="2:13" ht="12.75" customHeight="1" x14ac:dyDescent="0.2">
      <c r="B141" s="489"/>
      <c r="C141" s="491"/>
      <c r="D141" s="491"/>
      <c r="E141" s="492"/>
      <c r="F141" s="493"/>
      <c r="G141" s="485"/>
      <c r="H141" s="508" t="s">
        <v>869</v>
      </c>
      <c r="I141" s="508"/>
      <c r="J141" s="508"/>
      <c r="K141" s="488">
        <v>500</v>
      </c>
      <c r="L141" s="63">
        <f t="shared" si="12"/>
        <v>98557.330000000045</v>
      </c>
      <c r="M141" s="25"/>
    </row>
    <row r="142" spans="2:13" ht="12.75" customHeight="1" x14ac:dyDescent="0.2">
      <c r="B142" s="489"/>
      <c r="C142" s="491"/>
      <c r="D142" s="491"/>
      <c r="E142" s="492"/>
      <c r="F142" s="493"/>
      <c r="G142" s="404"/>
      <c r="H142" s="404" t="s">
        <v>870</v>
      </c>
      <c r="I142" s="404"/>
      <c r="J142" s="12"/>
      <c r="K142" s="12">
        <v>1000</v>
      </c>
      <c r="L142" s="63">
        <f t="shared" si="12"/>
        <v>97557.330000000045</v>
      </c>
      <c r="M142" s="25"/>
    </row>
    <row r="143" spans="2:13" ht="32.25" customHeight="1" x14ac:dyDescent="0.2">
      <c r="B143" s="489"/>
      <c r="C143" s="490"/>
      <c r="D143" s="491"/>
      <c r="E143" s="492"/>
      <c r="F143" s="493"/>
      <c r="G143" s="634" t="s">
        <v>872</v>
      </c>
      <c r="H143" s="635"/>
      <c r="I143" s="505"/>
      <c r="J143" s="505"/>
      <c r="K143" s="499">
        <v>2500</v>
      </c>
      <c r="L143" s="63">
        <f t="shared" si="12"/>
        <v>95057.330000000045</v>
      </c>
      <c r="M143" s="25"/>
    </row>
    <row r="144" spans="2:13" ht="12.75" customHeight="1" x14ac:dyDescent="0.2">
      <c r="B144" s="504"/>
      <c r="C144" s="495"/>
      <c r="D144" s="491"/>
      <c r="E144" s="492"/>
      <c r="F144" s="493"/>
      <c r="G144" s="634" t="s">
        <v>873</v>
      </c>
      <c r="H144" s="636"/>
      <c r="I144" s="635"/>
      <c r="J144" s="505"/>
      <c r="K144" s="499">
        <v>1600</v>
      </c>
      <c r="L144" s="63">
        <f t="shared" si="12"/>
        <v>93457.330000000045</v>
      </c>
      <c r="M144" s="25"/>
    </row>
    <row r="145" spans="2:13" ht="12.75" customHeight="1" x14ac:dyDescent="0.2">
      <c r="B145" s="489"/>
      <c r="C145" s="491"/>
      <c r="D145" s="491"/>
      <c r="E145" s="492"/>
      <c r="F145" s="493"/>
      <c r="G145" s="634" t="s">
        <v>874</v>
      </c>
      <c r="H145" s="636"/>
      <c r="I145" s="635"/>
      <c r="J145" s="499"/>
      <c r="K145" s="499">
        <v>1600</v>
      </c>
      <c r="L145" s="63">
        <f t="shared" si="12"/>
        <v>91857.330000000045</v>
      </c>
      <c r="M145" s="25"/>
    </row>
    <row r="146" spans="2:13" ht="28.5" customHeight="1" x14ac:dyDescent="0.2">
      <c r="B146" s="489"/>
      <c r="C146" s="490"/>
      <c r="D146" s="490"/>
      <c r="E146" s="492"/>
      <c r="F146" s="493"/>
      <c r="G146" s="634" t="s">
        <v>875</v>
      </c>
      <c r="H146" s="636"/>
      <c r="I146" s="635"/>
      <c r="J146" s="499"/>
      <c r="K146" s="499"/>
      <c r="L146" s="63">
        <f t="shared" si="12"/>
        <v>91857.330000000045</v>
      </c>
      <c r="M146" s="25"/>
    </row>
    <row r="147" spans="2:13" ht="12.75" customHeight="1" x14ac:dyDescent="0.2">
      <c r="B147" s="489"/>
      <c r="C147" s="490"/>
      <c r="D147" s="490"/>
      <c r="E147" s="492"/>
      <c r="F147" s="493"/>
      <c r="G147" s="634" t="s">
        <v>243</v>
      </c>
      <c r="H147" s="636"/>
      <c r="I147" s="635"/>
      <c r="J147" s="499"/>
      <c r="K147" s="499">
        <v>2040</v>
      </c>
      <c r="L147" s="63">
        <f t="shared" si="12"/>
        <v>89817.330000000045</v>
      </c>
      <c r="M147" s="25"/>
    </row>
    <row r="148" spans="2:13" x14ac:dyDescent="0.2">
      <c r="B148" s="64"/>
      <c r="C148" s="65"/>
      <c r="D148" s="65"/>
      <c r="E148" s="13"/>
      <c r="F148" s="13"/>
      <c r="G148" s="634" t="s">
        <v>249</v>
      </c>
      <c r="H148" s="636"/>
      <c r="I148" s="635"/>
      <c r="J148" s="12"/>
      <c r="K148" s="12">
        <v>2295</v>
      </c>
      <c r="L148" s="63">
        <f t="shared" si="12"/>
        <v>87522.330000000045</v>
      </c>
      <c r="M148" s="25"/>
    </row>
    <row r="149" spans="2:13" x14ac:dyDescent="0.2">
      <c r="B149" s="64"/>
      <c r="C149" s="65"/>
      <c r="D149" s="65"/>
      <c r="E149" s="13"/>
      <c r="F149" s="13"/>
      <c r="G149" s="634" t="s">
        <v>64</v>
      </c>
      <c r="H149" s="636"/>
      <c r="I149" s="635"/>
      <c r="J149" s="12"/>
      <c r="K149" s="12">
        <v>765</v>
      </c>
      <c r="L149" s="63">
        <f t="shared" ref="L149:L156" si="18">+J149-K149+L148</f>
        <v>86757.330000000045</v>
      </c>
      <c r="M149" s="25"/>
    </row>
    <row r="150" spans="2:13" x14ac:dyDescent="0.2">
      <c r="B150" s="64"/>
      <c r="C150" s="65"/>
      <c r="D150" s="65"/>
      <c r="E150" s="13"/>
      <c r="F150" s="13"/>
      <c r="G150" s="634"/>
      <c r="H150" s="636"/>
      <c r="I150" s="635"/>
      <c r="J150" s="12"/>
      <c r="K150" s="12"/>
      <c r="L150" s="63">
        <f t="shared" si="18"/>
        <v>86757.330000000045</v>
      </c>
      <c r="M150" s="25"/>
    </row>
    <row r="151" spans="2:13" x14ac:dyDescent="0.2">
      <c r="B151" s="64"/>
      <c r="C151" s="65"/>
      <c r="D151" s="65"/>
      <c r="E151" s="13"/>
      <c r="F151" s="13"/>
      <c r="G151" s="634"/>
      <c r="H151" s="636"/>
      <c r="I151" s="635"/>
      <c r="J151" s="12"/>
      <c r="K151" s="12"/>
      <c r="L151" s="63">
        <f t="shared" si="18"/>
        <v>86757.330000000045</v>
      </c>
      <c r="M151" s="25"/>
    </row>
    <row r="152" spans="2:13" x14ac:dyDescent="0.2">
      <c r="B152" s="64"/>
      <c r="C152" s="65"/>
      <c r="D152" s="65"/>
      <c r="E152" s="13"/>
      <c r="F152" s="13"/>
      <c r="G152" s="634"/>
      <c r="H152" s="636"/>
      <c r="I152" s="635"/>
      <c r="J152" s="12"/>
      <c r="K152" s="12"/>
      <c r="L152" s="63">
        <f t="shared" si="18"/>
        <v>86757.330000000045</v>
      </c>
      <c r="M152" s="25"/>
    </row>
    <row r="153" spans="2:13" x14ac:dyDescent="0.2">
      <c r="B153" s="64"/>
      <c r="C153" s="65"/>
      <c r="D153" s="65"/>
      <c r="E153" s="13"/>
      <c r="F153" s="13"/>
      <c r="G153" s="634"/>
      <c r="H153" s="636"/>
      <c r="I153" s="635"/>
      <c r="J153" s="12"/>
      <c r="K153" s="12"/>
      <c r="L153" s="63">
        <f t="shared" si="18"/>
        <v>86757.330000000045</v>
      </c>
      <c r="M153" s="25"/>
    </row>
    <row r="154" spans="2:13" x14ac:dyDescent="0.2">
      <c r="B154" s="64"/>
      <c r="C154" s="65"/>
      <c r="D154" s="65"/>
      <c r="E154" s="13"/>
      <c r="F154" s="13"/>
      <c r="G154" s="634"/>
      <c r="H154" s="636"/>
      <c r="I154" s="635"/>
      <c r="J154" s="12"/>
      <c r="K154" s="12"/>
      <c r="L154" s="63">
        <f t="shared" si="18"/>
        <v>86757.330000000045</v>
      </c>
      <c r="M154" s="25"/>
    </row>
    <row r="155" spans="2:13" x14ac:dyDescent="0.2">
      <c r="B155" s="64"/>
      <c r="C155" s="65"/>
      <c r="D155" s="65"/>
      <c r="E155" s="13"/>
      <c r="F155" s="13"/>
      <c r="G155" s="634"/>
      <c r="H155" s="636"/>
      <c r="I155" s="635"/>
      <c r="J155" s="12"/>
      <c r="K155" s="12"/>
      <c r="L155" s="63">
        <f t="shared" si="18"/>
        <v>86757.330000000045</v>
      </c>
      <c r="M155" s="25"/>
    </row>
    <row r="156" spans="2:13" x14ac:dyDescent="0.2">
      <c r="B156" s="64"/>
      <c r="C156" s="65"/>
      <c r="D156" s="65"/>
      <c r="E156" s="13"/>
      <c r="F156" s="13"/>
      <c r="G156" s="634"/>
      <c r="H156" s="636"/>
      <c r="I156" s="635"/>
      <c r="J156" s="12"/>
      <c r="K156" s="12"/>
      <c r="L156" s="63">
        <f t="shared" si="18"/>
        <v>86757.330000000045</v>
      </c>
      <c r="M156" s="25"/>
    </row>
    <row r="157" spans="2:13" x14ac:dyDescent="0.2">
      <c r="B157" s="64"/>
      <c r="C157" s="65"/>
      <c r="D157" s="65"/>
      <c r="E157" s="3"/>
      <c r="F157" s="13"/>
      <c r="G157" s="634"/>
      <c r="H157" s="636"/>
      <c r="I157" s="635"/>
      <c r="J157" s="12"/>
      <c r="K157" s="12"/>
      <c r="L157" s="63">
        <f t="shared" ref="L148:L157" si="19">+J157-K157+L156</f>
        <v>86757.330000000045</v>
      </c>
      <c r="M157" s="25"/>
    </row>
    <row r="158" spans="2:13" ht="12.75" thickBot="1" x14ac:dyDescent="0.25">
      <c r="B158" s="64"/>
      <c r="C158" s="65"/>
      <c r="D158" s="65"/>
      <c r="E158" s="13"/>
      <c r="F158" s="13"/>
      <c r="G158" s="104"/>
      <c r="H158" s="84"/>
      <c r="I158" s="12"/>
      <c r="J158" s="12"/>
      <c r="K158" s="12"/>
      <c r="L158" s="63"/>
      <c r="M158" s="25"/>
    </row>
    <row r="159" spans="2:13" x14ac:dyDescent="0.2">
      <c r="B159" s="56"/>
      <c r="C159" s="57"/>
      <c r="D159" s="57"/>
      <c r="E159" s="5"/>
      <c r="F159" s="5"/>
      <c r="G159" s="85" t="s">
        <v>14</v>
      </c>
      <c r="H159" s="107">
        <f>SUM(H82:H131)</f>
        <v>14702</v>
      </c>
      <c r="I159" s="105">
        <f>SUM(I82:I131)</f>
        <v>4704.6399999999994</v>
      </c>
      <c r="J159" s="106">
        <f>SUM(J82:J131)</f>
        <v>9997.36</v>
      </c>
      <c r="K159" s="106">
        <f>SUM(K136:K157)</f>
        <v>18300</v>
      </c>
      <c r="L159" s="108"/>
      <c r="M159" s="25"/>
    </row>
    <row r="160" spans="2:13" ht="12.75" thickBot="1" x14ac:dyDescent="0.25">
      <c r="B160" s="71"/>
      <c r="C160" s="72"/>
      <c r="D160" s="72"/>
      <c r="E160" s="73"/>
      <c r="F160" s="73"/>
      <c r="G160" s="86" t="s">
        <v>13</v>
      </c>
      <c r="H160" s="100"/>
      <c r="I160" s="99"/>
      <c r="J160" s="87"/>
      <c r="K160" s="87"/>
      <c r="L160" s="88">
        <f>+J159-K159+L81</f>
        <v>86757.330000000045</v>
      </c>
      <c r="M160" s="25"/>
    </row>
    <row r="161" spans="2:16" x14ac:dyDescent="0.2">
      <c r="B161" s="25"/>
      <c r="H161" s="74"/>
      <c r="I161" s="25"/>
      <c r="L161" s="25"/>
      <c r="M161" s="25"/>
    </row>
    <row r="162" spans="2:16" ht="12" customHeight="1" x14ac:dyDescent="0.2">
      <c r="B162" s="544" t="s">
        <v>48</v>
      </c>
      <c r="C162" s="545"/>
      <c r="D162" s="545"/>
      <c r="E162" s="545"/>
      <c r="F162" s="545"/>
      <c r="G162" s="545"/>
      <c r="H162" s="545"/>
      <c r="I162" s="545"/>
      <c r="J162" s="545"/>
      <c r="K162" s="545"/>
      <c r="L162" s="546"/>
      <c r="M162" s="25"/>
    </row>
    <row r="163" spans="2:16" x14ac:dyDescent="0.2">
      <c r="B163" s="547" t="s">
        <v>538</v>
      </c>
      <c r="C163" s="548"/>
      <c r="D163" s="548"/>
      <c r="E163" s="548"/>
      <c r="F163" s="548"/>
      <c r="G163" s="548"/>
      <c r="H163" s="548"/>
      <c r="I163" s="548"/>
      <c r="J163" s="548"/>
      <c r="K163" s="548"/>
      <c r="L163" s="549"/>
      <c r="M163" s="25"/>
    </row>
    <row r="164" spans="2:16" x14ac:dyDescent="0.2">
      <c r="B164" s="550" t="s">
        <v>50</v>
      </c>
      <c r="C164" s="550"/>
      <c r="D164" s="551" t="s">
        <v>51</v>
      </c>
      <c r="E164" s="551"/>
      <c r="F164" s="551"/>
      <c r="G164" s="472"/>
      <c r="H164" s="472"/>
      <c r="I164" s="472"/>
      <c r="J164" s="472"/>
      <c r="K164" s="472"/>
      <c r="L164" s="473"/>
      <c r="M164" s="25"/>
    </row>
    <row r="165" spans="2:16" ht="24" x14ac:dyDescent="0.2">
      <c r="B165" s="56" t="s">
        <v>1</v>
      </c>
      <c r="C165" s="57" t="s">
        <v>2</v>
      </c>
      <c r="D165" s="57" t="s">
        <v>2</v>
      </c>
      <c r="E165" s="5" t="s">
        <v>3</v>
      </c>
      <c r="F165" s="5" t="s">
        <v>4</v>
      </c>
      <c r="G165" s="89" t="s">
        <v>6</v>
      </c>
      <c r="H165" s="83" t="s">
        <v>7</v>
      </c>
      <c r="I165" s="83" t="s">
        <v>52</v>
      </c>
      <c r="J165" s="83" t="s">
        <v>53</v>
      </c>
      <c r="K165" s="5" t="s">
        <v>10</v>
      </c>
      <c r="L165" s="5" t="s">
        <v>11</v>
      </c>
      <c r="M165" s="25"/>
    </row>
    <row r="166" spans="2:16" x14ac:dyDescent="0.2">
      <c r="B166" s="58"/>
      <c r="C166" s="59"/>
      <c r="D166" s="59"/>
      <c r="E166" s="13"/>
      <c r="F166" s="13"/>
      <c r="G166" s="24"/>
      <c r="H166" s="60"/>
      <c r="I166" s="61"/>
      <c r="J166" s="61"/>
      <c r="K166" s="61"/>
      <c r="L166" s="60">
        <f>L160</f>
        <v>86757.330000000045</v>
      </c>
      <c r="M166" s="25"/>
    </row>
    <row r="167" spans="2:16" x14ac:dyDescent="0.2">
      <c r="B167" s="110">
        <v>44256</v>
      </c>
      <c r="C167" s="111"/>
      <c r="D167" s="11"/>
      <c r="E167" s="15"/>
      <c r="F167" s="15"/>
      <c r="G167" s="59" t="s">
        <v>861</v>
      </c>
      <c r="H167" s="112">
        <v>325</v>
      </c>
      <c r="I167" s="12">
        <f t="shared" ref="I167:I208" si="20">H167*0.32</f>
        <v>104</v>
      </c>
      <c r="J167" s="12">
        <f t="shared" ref="J167:J208" si="21">H167*0.68</f>
        <v>221.00000000000003</v>
      </c>
      <c r="K167" s="12"/>
      <c r="L167" s="63">
        <f>+J167-K167+L166</f>
        <v>86978.330000000045</v>
      </c>
      <c r="M167" s="25"/>
    </row>
    <row r="168" spans="2:16" x14ac:dyDescent="0.2">
      <c r="B168" s="110">
        <v>44257</v>
      </c>
      <c r="C168" s="111"/>
      <c r="D168" s="11"/>
      <c r="E168" s="15"/>
      <c r="F168" s="15"/>
      <c r="G168" s="59" t="s">
        <v>861</v>
      </c>
      <c r="H168" s="112">
        <v>430</v>
      </c>
      <c r="I168" s="12">
        <f t="shared" si="20"/>
        <v>137.6</v>
      </c>
      <c r="J168" s="12">
        <f t="shared" si="21"/>
        <v>292.40000000000003</v>
      </c>
      <c r="K168" s="12"/>
      <c r="L168" s="63">
        <f>+J168-K168+L167</f>
        <v>87270.73000000004</v>
      </c>
      <c r="M168" s="25"/>
    </row>
    <row r="169" spans="2:16" x14ac:dyDescent="0.2">
      <c r="B169" s="110">
        <v>44258</v>
      </c>
      <c r="C169" s="111"/>
      <c r="D169" s="11"/>
      <c r="E169" s="15"/>
      <c r="F169" s="15"/>
      <c r="G169" s="59" t="s">
        <v>861</v>
      </c>
      <c r="H169" s="112">
        <v>874</v>
      </c>
      <c r="I169" s="12">
        <f t="shared" si="20"/>
        <v>279.68</v>
      </c>
      <c r="J169" s="12">
        <f t="shared" si="21"/>
        <v>594.32000000000005</v>
      </c>
      <c r="K169" s="12"/>
      <c r="L169" s="63">
        <f>+J169-K169+L168</f>
        <v>87865.050000000047</v>
      </c>
      <c r="M169" s="25"/>
      <c r="O169" s="396"/>
    </row>
    <row r="170" spans="2:16" x14ac:dyDescent="0.2">
      <c r="B170" s="110">
        <v>44259</v>
      </c>
      <c r="C170" s="111"/>
      <c r="D170" s="11"/>
      <c r="E170" s="15"/>
      <c r="F170" s="15"/>
      <c r="G170" s="59" t="s">
        <v>861</v>
      </c>
      <c r="H170" s="112">
        <v>845</v>
      </c>
      <c r="I170" s="12">
        <f t="shared" si="20"/>
        <v>270.39999999999998</v>
      </c>
      <c r="J170" s="12">
        <f t="shared" si="21"/>
        <v>574.6</v>
      </c>
      <c r="K170" s="12"/>
      <c r="L170" s="63">
        <f>+J170-K170+L169</f>
        <v>88439.650000000052</v>
      </c>
      <c r="M170" s="25"/>
      <c r="O170" s="396"/>
    </row>
    <row r="171" spans="2:16" x14ac:dyDescent="0.2">
      <c r="B171" s="110">
        <v>44260</v>
      </c>
      <c r="C171" s="111"/>
      <c r="D171" s="11"/>
      <c r="E171" s="15"/>
      <c r="F171" s="15"/>
      <c r="G171" s="59" t="s">
        <v>861</v>
      </c>
      <c r="H171" s="112">
        <v>755</v>
      </c>
      <c r="I171" s="12">
        <f t="shared" si="20"/>
        <v>241.6</v>
      </c>
      <c r="J171" s="12">
        <f t="shared" si="21"/>
        <v>513.40000000000009</v>
      </c>
      <c r="K171" s="12"/>
      <c r="L171" s="63">
        <f t="shared" ref="L171:L234" si="22">+J171-K171+L170</f>
        <v>88953.050000000047</v>
      </c>
      <c r="M171" s="25"/>
    </row>
    <row r="172" spans="2:16" x14ac:dyDescent="0.2">
      <c r="B172" s="110">
        <v>44261</v>
      </c>
      <c r="C172" s="111"/>
      <c r="D172" s="11"/>
      <c r="E172" s="15"/>
      <c r="F172" s="15"/>
      <c r="G172" s="59" t="s">
        <v>861</v>
      </c>
      <c r="H172" s="112">
        <v>320</v>
      </c>
      <c r="I172" s="12">
        <f t="shared" si="20"/>
        <v>102.4</v>
      </c>
      <c r="J172" s="12">
        <f t="shared" si="21"/>
        <v>217.60000000000002</v>
      </c>
      <c r="K172" s="12"/>
      <c r="L172" s="63">
        <f t="shared" si="22"/>
        <v>89170.650000000052</v>
      </c>
      <c r="M172" s="25"/>
      <c r="P172" s="396"/>
    </row>
    <row r="173" spans="2:16" x14ac:dyDescent="0.2">
      <c r="B173" s="110">
        <v>44263</v>
      </c>
      <c r="C173" s="111"/>
      <c r="D173" s="11"/>
      <c r="E173" s="15"/>
      <c r="F173" s="15"/>
      <c r="G173" s="59" t="s">
        <v>861</v>
      </c>
      <c r="H173" s="112">
        <v>790</v>
      </c>
      <c r="I173" s="12">
        <f t="shared" si="20"/>
        <v>252.8</v>
      </c>
      <c r="J173" s="12">
        <f t="shared" si="21"/>
        <v>537.20000000000005</v>
      </c>
      <c r="K173" s="12"/>
      <c r="L173" s="63">
        <f t="shared" si="22"/>
        <v>89707.850000000049</v>
      </c>
      <c r="M173" s="25"/>
      <c r="P173" s="396"/>
    </row>
    <row r="174" spans="2:16" x14ac:dyDescent="0.2">
      <c r="B174" s="110">
        <v>44264</v>
      </c>
      <c r="C174" s="111"/>
      <c r="D174" s="11"/>
      <c r="E174" s="15"/>
      <c r="F174" s="15"/>
      <c r="G174" s="59" t="s">
        <v>861</v>
      </c>
      <c r="H174" s="112">
        <v>145</v>
      </c>
      <c r="I174" s="12">
        <f t="shared" si="20"/>
        <v>46.4</v>
      </c>
      <c r="J174" s="12">
        <f t="shared" si="21"/>
        <v>98.600000000000009</v>
      </c>
      <c r="K174" s="12"/>
      <c r="L174" s="63">
        <f t="shared" si="22"/>
        <v>89806.450000000055</v>
      </c>
      <c r="M174" s="25"/>
    </row>
    <row r="175" spans="2:16" x14ac:dyDescent="0.2">
      <c r="B175" s="110">
        <v>44265</v>
      </c>
      <c r="C175" s="111"/>
      <c r="D175" s="11"/>
      <c r="E175" s="15"/>
      <c r="F175" s="15"/>
      <c r="G175" s="59" t="s">
        <v>861</v>
      </c>
      <c r="H175" s="112">
        <v>770</v>
      </c>
      <c r="I175" s="12">
        <f t="shared" si="20"/>
        <v>246.4</v>
      </c>
      <c r="J175" s="12">
        <f t="shared" si="21"/>
        <v>523.6</v>
      </c>
      <c r="K175" s="12"/>
      <c r="L175" s="63">
        <f t="shared" si="22"/>
        <v>90330.050000000061</v>
      </c>
      <c r="M175" s="25"/>
    </row>
    <row r="176" spans="2:16" x14ac:dyDescent="0.2">
      <c r="B176" s="110">
        <v>44266</v>
      </c>
      <c r="C176" s="111"/>
      <c r="D176" s="11"/>
      <c r="E176" s="15"/>
      <c r="F176" s="15"/>
      <c r="G176" s="59" t="s">
        <v>861</v>
      </c>
      <c r="H176" s="112">
        <v>580</v>
      </c>
      <c r="I176" s="12">
        <f t="shared" si="20"/>
        <v>185.6</v>
      </c>
      <c r="J176" s="12">
        <f t="shared" si="21"/>
        <v>394.40000000000003</v>
      </c>
      <c r="K176" s="12"/>
      <c r="L176" s="63">
        <f t="shared" si="22"/>
        <v>90724.450000000055</v>
      </c>
      <c r="M176" s="25"/>
    </row>
    <row r="177" spans="2:13" x14ac:dyDescent="0.2">
      <c r="B177" s="110">
        <v>44267</v>
      </c>
      <c r="C177" s="111"/>
      <c r="D177" s="11"/>
      <c r="E177" s="15"/>
      <c r="F177" s="15"/>
      <c r="G177" s="59" t="s">
        <v>861</v>
      </c>
      <c r="H177" s="112">
        <v>970</v>
      </c>
      <c r="I177" s="12">
        <f t="shared" si="20"/>
        <v>310.40000000000003</v>
      </c>
      <c r="J177" s="12">
        <f t="shared" si="21"/>
        <v>659.6</v>
      </c>
      <c r="K177" s="12"/>
      <c r="L177" s="63">
        <f t="shared" si="22"/>
        <v>91384.050000000061</v>
      </c>
      <c r="M177" s="25"/>
    </row>
    <row r="178" spans="2:13" x14ac:dyDescent="0.2">
      <c r="B178" s="110"/>
      <c r="C178" s="111"/>
      <c r="D178" s="11"/>
      <c r="E178" s="15"/>
      <c r="F178" s="15"/>
      <c r="G178" s="15"/>
      <c r="H178" s="112"/>
      <c r="I178" s="12">
        <f t="shared" si="20"/>
        <v>0</v>
      </c>
      <c r="J178" s="12">
        <f t="shared" si="21"/>
        <v>0</v>
      </c>
      <c r="K178" s="12"/>
      <c r="L178" s="63">
        <f t="shared" si="22"/>
        <v>91384.050000000061</v>
      </c>
      <c r="M178" s="25"/>
    </row>
    <row r="179" spans="2:13" x14ac:dyDescent="0.2">
      <c r="B179" s="110"/>
      <c r="C179" s="111"/>
      <c r="D179" s="11"/>
      <c r="E179" s="15"/>
      <c r="F179" s="15"/>
      <c r="G179" s="15"/>
      <c r="H179" s="112"/>
      <c r="I179" s="12">
        <f t="shared" si="20"/>
        <v>0</v>
      </c>
      <c r="J179" s="12">
        <f t="shared" si="21"/>
        <v>0</v>
      </c>
      <c r="K179" s="12"/>
      <c r="L179" s="63">
        <f t="shared" si="22"/>
        <v>91384.050000000061</v>
      </c>
      <c r="M179" s="25"/>
    </row>
    <row r="180" spans="2:13" x14ac:dyDescent="0.2">
      <c r="B180" s="427"/>
      <c r="C180" s="438"/>
      <c r="D180" s="439"/>
      <c r="E180" s="436"/>
      <c r="F180" s="436"/>
      <c r="G180" s="436"/>
      <c r="H180" s="437"/>
      <c r="I180" s="12">
        <f t="shared" si="20"/>
        <v>0</v>
      </c>
      <c r="J180" s="12">
        <f t="shared" si="21"/>
        <v>0</v>
      </c>
      <c r="K180" s="12"/>
      <c r="L180" s="63">
        <f t="shared" si="22"/>
        <v>91384.050000000061</v>
      </c>
      <c r="M180" s="25"/>
    </row>
    <row r="181" spans="2:13" x14ac:dyDescent="0.2">
      <c r="B181" s="427"/>
      <c r="C181" s="438"/>
      <c r="D181" s="415"/>
      <c r="E181" s="432"/>
      <c r="F181" s="436"/>
      <c r="G181" s="436"/>
      <c r="H181" s="437"/>
      <c r="I181" s="12">
        <f t="shared" si="20"/>
        <v>0</v>
      </c>
      <c r="J181" s="12">
        <f t="shared" si="21"/>
        <v>0</v>
      </c>
      <c r="K181" s="12"/>
      <c r="L181" s="63">
        <f t="shared" si="22"/>
        <v>91384.050000000061</v>
      </c>
      <c r="M181" s="25"/>
    </row>
    <row r="182" spans="2:13" x14ac:dyDescent="0.2">
      <c r="B182" s="427"/>
      <c r="C182" s="438"/>
      <c r="D182" s="431"/>
      <c r="E182" s="432"/>
      <c r="F182" s="436"/>
      <c r="G182" s="433"/>
      <c r="H182" s="437"/>
      <c r="I182" s="12">
        <f t="shared" si="20"/>
        <v>0</v>
      </c>
      <c r="J182" s="12">
        <f t="shared" si="21"/>
        <v>0</v>
      </c>
      <c r="K182" s="12"/>
      <c r="L182" s="63">
        <f t="shared" si="22"/>
        <v>91384.050000000061</v>
      </c>
      <c r="M182" s="25"/>
    </row>
    <row r="183" spans="2:13" x14ac:dyDescent="0.2">
      <c r="B183" s="427"/>
      <c r="C183" s="438"/>
      <c r="D183" s="431"/>
      <c r="E183" s="432"/>
      <c r="F183" s="436"/>
      <c r="G183" s="433"/>
      <c r="H183" s="437"/>
      <c r="I183" s="12">
        <f t="shared" si="20"/>
        <v>0</v>
      </c>
      <c r="J183" s="12">
        <f t="shared" si="21"/>
        <v>0</v>
      </c>
      <c r="K183" s="12"/>
      <c r="L183" s="63">
        <f t="shared" si="22"/>
        <v>91384.050000000061</v>
      </c>
      <c r="M183" s="25"/>
    </row>
    <row r="184" spans="2:13" x14ac:dyDescent="0.2">
      <c r="B184" s="427"/>
      <c r="C184" s="438"/>
      <c r="D184" s="431"/>
      <c r="E184" s="432"/>
      <c r="F184" s="436"/>
      <c r="G184" s="433"/>
      <c r="H184" s="437"/>
      <c r="I184" s="12">
        <f t="shared" si="20"/>
        <v>0</v>
      </c>
      <c r="J184" s="12">
        <f t="shared" si="21"/>
        <v>0</v>
      </c>
      <c r="K184" s="12"/>
      <c r="L184" s="63">
        <f t="shared" si="22"/>
        <v>91384.050000000061</v>
      </c>
      <c r="M184" s="25"/>
    </row>
    <row r="185" spans="2:13" x14ac:dyDescent="0.2">
      <c r="B185" s="110"/>
      <c r="C185" s="353"/>
      <c r="D185" s="65"/>
      <c r="E185" s="13"/>
      <c r="F185" s="15"/>
      <c r="G185" s="66"/>
      <c r="H185" s="112"/>
      <c r="I185" s="12">
        <f t="shared" si="20"/>
        <v>0</v>
      </c>
      <c r="J185" s="12">
        <f t="shared" si="21"/>
        <v>0</v>
      </c>
      <c r="K185" s="12"/>
      <c r="L185" s="63">
        <f t="shared" si="22"/>
        <v>91384.050000000061</v>
      </c>
      <c r="M185" s="25"/>
    </row>
    <row r="186" spans="2:13" x14ac:dyDescent="0.2">
      <c r="B186" s="110"/>
      <c r="C186" s="353"/>
      <c r="D186" s="65"/>
      <c r="E186" s="13"/>
      <c r="F186" s="15"/>
      <c r="G186" s="66"/>
      <c r="H186" s="112"/>
      <c r="I186" s="12">
        <f t="shared" si="20"/>
        <v>0</v>
      </c>
      <c r="J186" s="12">
        <f t="shared" si="21"/>
        <v>0</v>
      </c>
      <c r="K186" s="12"/>
      <c r="L186" s="63">
        <f t="shared" si="22"/>
        <v>91384.050000000061</v>
      </c>
      <c r="M186" s="25"/>
    </row>
    <row r="187" spans="2:13" x14ac:dyDescent="0.2">
      <c r="B187" s="442"/>
      <c r="C187" s="443"/>
      <c r="D187" s="458"/>
      <c r="E187" s="445"/>
      <c r="F187" s="446"/>
      <c r="G187" s="452"/>
      <c r="H187" s="447"/>
      <c r="I187" s="12">
        <f t="shared" si="20"/>
        <v>0</v>
      </c>
      <c r="J187" s="12">
        <f t="shared" si="21"/>
        <v>0</v>
      </c>
      <c r="K187" s="12"/>
      <c r="L187" s="63">
        <f t="shared" si="22"/>
        <v>91384.050000000061</v>
      </c>
      <c r="M187" s="25"/>
    </row>
    <row r="188" spans="2:13" x14ac:dyDescent="0.2">
      <c r="B188" s="442"/>
      <c r="C188" s="443"/>
      <c r="D188" s="458"/>
      <c r="E188" s="445"/>
      <c r="F188" s="446"/>
      <c r="G188" s="452"/>
      <c r="H188" s="447"/>
      <c r="I188" s="12">
        <f t="shared" si="20"/>
        <v>0</v>
      </c>
      <c r="J188" s="12">
        <f t="shared" si="21"/>
        <v>0</v>
      </c>
      <c r="K188" s="12"/>
      <c r="L188" s="63">
        <f t="shared" si="22"/>
        <v>91384.050000000061</v>
      </c>
      <c r="M188" s="25"/>
    </row>
    <row r="189" spans="2:13" x14ac:dyDescent="0.2">
      <c r="B189" s="110"/>
      <c r="C189" s="353"/>
      <c r="D189" s="65"/>
      <c r="E189" s="13"/>
      <c r="F189" s="15"/>
      <c r="G189" s="66"/>
      <c r="H189" s="112"/>
      <c r="I189" s="12">
        <f t="shared" si="20"/>
        <v>0</v>
      </c>
      <c r="J189" s="12">
        <f t="shared" si="21"/>
        <v>0</v>
      </c>
      <c r="K189" s="12"/>
      <c r="L189" s="63">
        <f t="shared" si="22"/>
        <v>91384.050000000061</v>
      </c>
      <c r="M189" s="25"/>
    </row>
    <row r="190" spans="2:13" x14ac:dyDescent="0.2">
      <c r="B190" s="110"/>
      <c r="C190" s="353"/>
      <c r="D190" s="65"/>
      <c r="E190" s="13"/>
      <c r="F190" s="15"/>
      <c r="G190" s="66"/>
      <c r="H190" s="112"/>
      <c r="I190" s="12">
        <f t="shared" si="20"/>
        <v>0</v>
      </c>
      <c r="J190" s="12">
        <f t="shared" si="21"/>
        <v>0</v>
      </c>
      <c r="K190" s="12"/>
      <c r="L190" s="63">
        <f t="shared" si="22"/>
        <v>91384.050000000061</v>
      </c>
      <c r="M190" s="25"/>
    </row>
    <row r="191" spans="2:13" x14ac:dyDescent="0.2">
      <c r="B191" s="110"/>
      <c r="C191" s="353"/>
      <c r="D191" s="65"/>
      <c r="E191" s="13"/>
      <c r="F191" s="15"/>
      <c r="G191" s="66"/>
      <c r="H191" s="112"/>
      <c r="I191" s="12">
        <f t="shared" si="20"/>
        <v>0</v>
      </c>
      <c r="J191" s="12">
        <f t="shared" si="21"/>
        <v>0</v>
      </c>
      <c r="K191" s="12"/>
      <c r="L191" s="63">
        <f t="shared" si="22"/>
        <v>91384.050000000061</v>
      </c>
      <c r="M191" s="25"/>
    </row>
    <row r="192" spans="2:13" x14ac:dyDescent="0.2">
      <c r="B192" s="110"/>
      <c r="C192" s="353"/>
      <c r="D192" s="65"/>
      <c r="E192" s="13"/>
      <c r="F192" s="15"/>
      <c r="G192" s="66"/>
      <c r="H192" s="112"/>
      <c r="I192" s="12">
        <f t="shared" si="20"/>
        <v>0</v>
      </c>
      <c r="J192" s="12">
        <f t="shared" si="21"/>
        <v>0</v>
      </c>
      <c r="K192" s="12"/>
      <c r="L192" s="63">
        <f t="shared" si="22"/>
        <v>91384.050000000061</v>
      </c>
      <c r="M192" s="25"/>
    </row>
    <row r="193" spans="2:13" x14ac:dyDescent="0.2">
      <c r="B193" s="110"/>
      <c r="C193" s="353"/>
      <c r="D193" s="65"/>
      <c r="E193" s="13"/>
      <c r="F193" s="15"/>
      <c r="G193" s="66"/>
      <c r="H193" s="112"/>
      <c r="I193" s="12">
        <f t="shared" si="20"/>
        <v>0</v>
      </c>
      <c r="J193" s="12">
        <f t="shared" si="21"/>
        <v>0</v>
      </c>
      <c r="K193" s="12"/>
      <c r="L193" s="63">
        <f t="shared" si="22"/>
        <v>91384.050000000061</v>
      </c>
      <c r="M193" s="25"/>
    </row>
    <row r="194" spans="2:13" x14ac:dyDescent="0.2">
      <c r="B194" s="110"/>
      <c r="C194" s="353"/>
      <c r="D194" s="65"/>
      <c r="E194" s="13"/>
      <c r="F194" s="15"/>
      <c r="G194" s="66"/>
      <c r="H194" s="112"/>
      <c r="I194" s="12">
        <f t="shared" si="20"/>
        <v>0</v>
      </c>
      <c r="J194" s="12">
        <f t="shared" si="21"/>
        <v>0</v>
      </c>
      <c r="K194" s="12"/>
      <c r="L194" s="63">
        <f t="shared" si="22"/>
        <v>91384.050000000061</v>
      </c>
      <c r="M194" s="25"/>
    </row>
    <row r="195" spans="2:13" x14ac:dyDescent="0.2">
      <c r="B195" s="110"/>
      <c r="C195" s="353"/>
      <c r="D195" s="65"/>
      <c r="E195" s="13"/>
      <c r="F195" s="15"/>
      <c r="G195" s="66"/>
      <c r="H195" s="112"/>
      <c r="I195" s="12">
        <f t="shared" si="20"/>
        <v>0</v>
      </c>
      <c r="J195" s="12">
        <f t="shared" si="21"/>
        <v>0</v>
      </c>
      <c r="K195" s="12"/>
      <c r="L195" s="63">
        <f t="shared" si="22"/>
        <v>91384.050000000061</v>
      </c>
      <c r="M195" s="25"/>
    </row>
    <row r="196" spans="2:13" x14ac:dyDescent="0.2">
      <c r="B196" s="110"/>
      <c r="C196" s="353"/>
      <c r="D196" s="65"/>
      <c r="E196" s="13"/>
      <c r="F196" s="15"/>
      <c r="G196" s="66"/>
      <c r="H196" s="112"/>
      <c r="I196" s="12">
        <f t="shared" si="20"/>
        <v>0</v>
      </c>
      <c r="J196" s="12">
        <f t="shared" si="21"/>
        <v>0</v>
      </c>
      <c r="K196" s="12"/>
      <c r="L196" s="63">
        <f t="shared" si="22"/>
        <v>91384.050000000061</v>
      </c>
      <c r="M196" s="25"/>
    </row>
    <row r="197" spans="2:13" x14ac:dyDescent="0.2">
      <c r="B197" s="110"/>
      <c r="C197" s="353"/>
      <c r="D197" s="65"/>
      <c r="E197" s="13"/>
      <c r="F197" s="15"/>
      <c r="G197" s="66"/>
      <c r="H197" s="112"/>
      <c r="I197" s="12">
        <f t="shared" si="20"/>
        <v>0</v>
      </c>
      <c r="J197" s="12">
        <f t="shared" si="21"/>
        <v>0</v>
      </c>
      <c r="K197" s="12"/>
      <c r="L197" s="63">
        <f t="shared" si="22"/>
        <v>91384.050000000061</v>
      </c>
      <c r="M197" s="25"/>
    </row>
    <row r="198" spans="2:13" x14ac:dyDescent="0.2">
      <c r="B198" s="110"/>
      <c r="C198" s="353"/>
      <c r="D198" s="65"/>
      <c r="E198" s="13"/>
      <c r="F198" s="15"/>
      <c r="G198" s="66"/>
      <c r="H198" s="112"/>
      <c r="I198" s="12">
        <f t="shared" si="20"/>
        <v>0</v>
      </c>
      <c r="J198" s="12">
        <f t="shared" si="21"/>
        <v>0</v>
      </c>
      <c r="K198" s="12"/>
      <c r="L198" s="63">
        <f t="shared" si="22"/>
        <v>91384.050000000061</v>
      </c>
      <c r="M198" s="25"/>
    </row>
    <row r="199" spans="2:13" x14ac:dyDescent="0.2">
      <c r="B199" s="110"/>
      <c r="C199" s="353"/>
      <c r="D199" s="65"/>
      <c r="E199" s="13"/>
      <c r="F199" s="15"/>
      <c r="G199" s="66"/>
      <c r="H199" s="112"/>
      <c r="I199" s="12">
        <f t="shared" si="20"/>
        <v>0</v>
      </c>
      <c r="J199" s="12">
        <f t="shared" si="21"/>
        <v>0</v>
      </c>
      <c r="K199" s="12"/>
      <c r="L199" s="63">
        <f t="shared" si="22"/>
        <v>91384.050000000061</v>
      </c>
      <c r="M199" s="25"/>
    </row>
    <row r="200" spans="2:13" x14ac:dyDescent="0.2">
      <c r="B200" s="110"/>
      <c r="C200" s="353"/>
      <c r="D200" s="65"/>
      <c r="E200" s="13"/>
      <c r="F200" s="15"/>
      <c r="G200" s="66"/>
      <c r="H200" s="112"/>
      <c r="I200" s="12">
        <f t="shared" si="20"/>
        <v>0</v>
      </c>
      <c r="J200" s="12">
        <f t="shared" si="21"/>
        <v>0</v>
      </c>
      <c r="K200" s="12"/>
      <c r="L200" s="63">
        <f t="shared" si="22"/>
        <v>91384.050000000061</v>
      </c>
      <c r="M200" s="25"/>
    </row>
    <row r="201" spans="2:13" x14ac:dyDescent="0.2">
      <c r="B201" s="110"/>
      <c r="C201" s="353"/>
      <c r="D201" s="65"/>
      <c r="E201" s="13"/>
      <c r="F201" s="15"/>
      <c r="G201" s="66"/>
      <c r="H201" s="112"/>
      <c r="I201" s="12">
        <f t="shared" si="20"/>
        <v>0</v>
      </c>
      <c r="J201" s="12">
        <f t="shared" si="21"/>
        <v>0</v>
      </c>
      <c r="K201" s="12"/>
      <c r="L201" s="63">
        <f t="shared" si="22"/>
        <v>91384.050000000061</v>
      </c>
      <c r="M201" s="25"/>
    </row>
    <row r="202" spans="2:13" x14ac:dyDescent="0.2">
      <c r="B202" s="110"/>
      <c r="C202" s="353"/>
      <c r="D202" s="65"/>
      <c r="E202" s="13"/>
      <c r="F202" s="15"/>
      <c r="G202" s="66"/>
      <c r="H202" s="112"/>
      <c r="I202" s="12">
        <f t="shared" si="20"/>
        <v>0</v>
      </c>
      <c r="J202" s="12">
        <f t="shared" si="21"/>
        <v>0</v>
      </c>
      <c r="K202" s="12"/>
      <c r="L202" s="63">
        <f t="shared" si="22"/>
        <v>91384.050000000061</v>
      </c>
      <c r="M202" s="25"/>
    </row>
    <row r="203" spans="2:13" x14ac:dyDescent="0.2">
      <c r="B203" s="110"/>
      <c r="C203" s="353"/>
      <c r="D203" s="65"/>
      <c r="E203" s="13"/>
      <c r="F203" s="15"/>
      <c r="G203" s="66"/>
      <c r="H203" s="112"/>
      <c r="I203" s="12">
        <f t="shared" si="20"/>
        <v>0</v>
      </c>
      <c r="J203" s="12">
        <f t="shared" si="21"/>
        <v>0</v>
      </c>
      <c r="K203" s="12"/>
      <c r="L203" s="63">
        <f t="shared" si="22"/>
        <v>91384.050000000061</v>
      </c>
      <c r="M203" s="25"/>
    </row>
    <row r="204" spans="2:13" x14ac:dyDescent="0.2">
      <c r="B204" s="110"/>
      <c r="C204" s="353"/>
      <c r="D204" s="65"/>
      <c r="E204" s="13"/>
      <c r="F204" s="15"/>
      <c r="G204" s="66"/>
      <c r="H204" s="112"/>
      <c r="I204" s="12">
        <f t="shared" si="20"/>
        <v>0</v>
      </c>
      <c r="J204" s="12">
        <f t="shared" si="21"/>
        <v>0</v>
      </c>
      <c r="K204" s="12"/>
      <c r="L204" s="63">
        <f t="shared" si="22"/>
        <v>91384.050000000061</v>
      </c>
      <c r="M204" s="25"/>
    </row>
    <row r="205" spans="2:13" x14ac:dyDescent="0.2">
      <c r="B205" s="110"/>
      <c r="C205" s="353"/>
      <c r="D205" s="65"/>
      <c r="E205" s="13"/>
      <c r="F205" s="15"/>
      <c r="G205" s="66"/>
      <c r="H205" s="112"/>
      <c r="I205" s="12">
        <f t="shared" si="20"/>
        <v>0</v>
      </c>
      <c r="J205" s="12">
        <f t="shared" si="21"/>
        <v>0</v>
      </c>
      <c r="K205" s="12"/>
      <c r="L205" s="63">
        <f t="shared" si="22"/>
        <v>91384.050000000061</v>
      </c>
      <c r="M205" s="25"/>
    </row>
    <row r="206" spans="2:13" x14ac:dyDescent="0.2">
      <c r="B206" s="110"/>
      <c r="C206" s="353"/>
      <c r="D206" s="65"/>
      <c r="E206" s="13"/>
      <c r="F206" s="15"/>
      <c r="G206" s="66"/>
      <c r="H206" s="112"/>
      <c r="I206" s="12">
        <f t="shared" si="20"/>
        <v>0</v>
      </c>
      <c r="J206" s="12">
        <f t="shared" si="21"/>
        <v>0</v>
      </c>
      <c r="K206" s="12"/>
      <c r="L206" s="63">
        <f t="shared" si="22"/>
        <v>91384.050000000061</v>
      </c>
      <c r="M206" s="25"/>
    </row>
    <row r="207" spans="2:13" x14ac:dyDescent="0.2">
      <c r="B207" s="110"/>
      <c r="C207" s="353"/>
      <c r="D207" s="65"/>
      <c r="E207" s="13"/>
      <c r="F207" s="15"/>
      <c r="G207" s="66"/>
      <c r="H207" s="112"/>
      <c r="I207" s="12">
        <f t="shared" si="20"/>
        <v>0</v>
      </c>
      <c r="J207" s="12">
        <f t="shared" si="21"/>
        <v>0</v>
      </c>
      <c r="K207" s="12"/>
      <c r="L207" s="63">
        <f t="shared" si="22"/>
        <v>91384.050000000061</v>
      </c>
      <c r="M207" s="25"/>
    </row>
    <row r="208" spans="2:13" x14ac:dyDescent="0.2">
      <c r="B208" s="110"/>
      <c r="C208" s="353"/>
      <c r="D208" s="65"/>
      <c r="E208" s="13"/>
      <c r="F208" s="15"/>
      <c r="G208" s="66"/>
      <c r="H208" s="112"/>
      <c r="I208" s="12">
        <f t="shared" si="20"/>
        <v>0</v>
      </c>
      <c r="J208" s="12">
        <f t="shared" si="21"/>
        <v>0</v>
      </c>
      <c r="K208" s="12"/>
      <c r="L208" s="63">
        <f t="shared" si="22"/>
        <v>91384.050000000061</v>
      </c>
      <c r="M208" s="25"/>
    </row>
    <row r="209" spans="2:13" x14ac:dyDescent="0.2">
      <c r="B209" s="110"/>
      <c r="C209" s="353"/>
      <c r="D209" s="65"/>
      <c r="E209" s="13"/>
      <c r="F209" s="15"/>
      <c r="G209" s="66"/>
      <c r="H209" s="112"/>
      <c r="I209" s="12"/>
      <c r="J209" s="12"/>
      <c r="K209" s="12"/>
      <c r="L209" s="63">
        <f t="shared" si="22"/>
        <v>91384.050000000061</v>
      </c>
      <c r="M209" s="25"/>
    </row>
    <row r="210" spans="2:13" x14ac:dyDescent="0.2">
      <c r="B210" s="110"/>
      <c r="C210" s="65"/>
      <c r="D210" s="65"/>
      <c r="E210" s="13"/>
      <c r="F210" s="15"/>
      <c r="G210" s="66"/>
      <c r="H210" s="112"/>
      <c r="I210" s="12"/>
      <c r="J210" s="12"/>
      <c r="K210" s="12"/>
      <c r="L210" s="63">
        <f t="shared" si="22"/>
        <v>91384.050000000061</v>
      </c>
      <c r="M210" s="25"/>
    </row>
    <row r="211" spans="2:13" x14ac:dyDescent="0.2">
      <c r="B211" s="547" t="s">
        <v>192</v>
      </c>
      <c r="C211" s="548"/>
      <c r="D211" s="548"/>
      <c r="E211" s="548"/>
      <c r="F211" s="548"/>
      <c r="G211" s="548"/>
      <c r="H211" s="548"/>
      <c r="I211" s="548"/>
      <c r="J211" s="548"/>
      <c r="K211" s="549"/>
      <c r="L211" s="63">
        <f t="shared" si="22"/>
        <v>91384.050000000061</v>
      </c>
      <c r="M211" s="25"/>
    </row>
    <row r="212" spans="2:13" x14ac:dyDescent="0.2">
      <c r="B212" s="552" t="s">
        <v>56</v>
      </c>
      <c r="C212" s="553"/>
      <c r="D212" s="554" t="s">
        <v>51</v>
      </c>
      <c r="E212" s="554"/>
      <c r="F212" s="554"/>
      <c r="G212" s="94"/>
      <c r="H212" s="95"/>
      <c r="I212" s="96"/>
      <c r="J212" s="96"/>
      <c r="K212" s="97"/>
      <c r="L212" s="63">
        <f t="shared" si="22"/>
        <v>91384.050000000061</v>
      </c>
      <c r="M212" s="25"/>
    </row>
    <row r="213" spans="2:13" x14ac:dyDescent="0.2">
      <c r="B213" s="91" t="s">
        <v>1</v>
      </c>
      <c r="C213" s="92" t="s">
        <v>57</v>
      </c>
      <c r="D213" s="92" t="s">
        <v>2</v>
      </c>
      <c r="E213" s="474" t="s">
        <v>3</v>
      </c>
      <c r="F213" s="474" t="s">
        <v>4</v>
      </c>
      <c r="G213" s="561" t="s">
        <v>58</v>
      </c>
      <c r="H213" s="562"/>
      <c r="I213" s="562"/>
      <c r="J213" s="563"/>
      <c r="K213" s="90"/>
      <c r="L213" s="63">
        <f t="shared" si="22"/>
        <v>91384.050000000061</v>
      </c>
      <c r="M213" s="25"/>
    </row>
    <row r="214" spans="2:13" ht="14.25" customHeight="1" x14ac:dyDescent="0.2">
      <c r="B214" s="406"/>
      <c r="C214" s="407"/>
      <c r="D214" s="407"/>
      <c r="E214" s="7"/>
      <c r="F214" s="19"/>
      <c r="G214" s="502"/>
      <c r="H214" s="502"/>
      <c r="I214" s="502"/>
      <c r="J214" s="502"/>
      <c r="K214" s="408"/>
      <c r="L214" s="63">
        <f t="shared" si="22"/>
        <v>91384.050000000061</v>
      </c>
      <c r="M214" s="25"/>
    </row>
    <row r="215" spans="2:13" ht="27.75" customHeight="1" x14ac:dyDescent="0.2">
      <c r="B215" s="406"/>
      <c r="C215" s="407"/>
      <c r="D215" s="407"/>
      <c r="E215" s="7"/>
      <c r="F215" s="19"/>
      <c r="G215" s="634" t="s">
        <v>876</v>
      </c>
      <c r="H215" s="636"/>
      <c r="I215" s="635"/>
      <c r="J215" s="502"/>
      <c r="K215" s="408">
        <v>1900</v>
      </c>
      <c r="L215" s="63">
        <f t="shared" si="22"/>
        <v>89484.050000000061</v>
      </c>
      <c r="M215" s="25"/>
    </row>
    <row r="216" spans="2:13" ht="24.75" customHeight="1" x14ac:dyDescent="0.2">
      <c r="B216" s="406"/>
      <c r="C216" s="407"/>
      <c r="D216" s="407"/>
      <c r="E216" s="7"/>
      <c r="F216" s="19"/>
      <c r="G216" s="634" t="s">
        <v>877</v>
      </c>
      <c r="H216" s="636"/>
      <c r="I216" s="635"/>
      <c r="J216" s="502"/>
      <c r="K216" s="408">
        <v>1900</v>
      </c>
      <c r="L216" s="63">
        <f t="shared" si="22"/>
        <v>87584.050000000061</v>
      </c>
      <c r="M216" s="25"/>
    </row>
    <row r="217" spans="2:13" ht="21" customHeight="1" x14ac:dyDescent="0.2">
      <c r="B217" s="406"/>
      <c r="C217" s="407"/>
      <c r="D217" s="407"/>
      <c r="E217" s="7"/>
      <c r="F217" s="19"/>
      <c r="G217" s="634" t="s">
        <v>878</v>
      </c>
      <c r="H217" s="636"/>
      <c r="I217" s="635"/>
      <c r="J217" s="502"/>
      <c r="K217" s="408">
        <v>600</v>
      </c>
      <c r="L217" s="63">
        <f t="shared" si="22"/>
        <v>86984.050000000061</v>
      </c>
      <c r="M217" s="25"/>
    </row>
    <row r="218" spans="2:13" ht="27.75" customHeight="1" x14ac:dyDescent="0.2">
      <c r="B218" s="406"/>
      <c r="C218" s="407"/>
      <c r="D218" s="407"/>
      <c r="E218" s="7"/>
      <c r="F218" s="19"/>
      <c r="G218" s="634" t="s">
        <v>879</v>
      </c>
      <c r="H218" s="636"/>
      <c r="I218" s="635"/>
      <c r="J218" s="502"/>
      <c r="K218" s="408">
        <v>950</v>
      </c>
      <c r="L218" s="63">
        <f t="shared" si="22"/>
        <v>86034.050000000061</v>
      </c>
      <c r="M218" s="25"/>
    </row>
    <row r="219" spans="2:13" ht="26.25" customHeight="1" x14ac:dyDescent="0.2">
      <c r="B219" s="406"/>
      <c r="C219" s="407"/>
      <c r="D219" s="407"/>
      <c r="E219" s="7"/>
      <c r="F219" s="19"/>
      <c r="G219" s="634" t="s">
        <v>880</v>
      </c>
      <c r="H219" s="636"/>
      <c r="I219" s="635"/>
      <c r="J219" s="502"/>
      <c r="K219" s="408">
        <v>950</v>
      </c>
      <c r="L219" s="63">
        <f t="shared" si="22"/>
        <v>85084.050000000061</v>
      </c>
      <c r="M219" s="25"/>
    </row>
    <row r="220" spans="2:13" ht="23.25" customHeight="1" x14ac:dyDescent="0.2">
      <c r="B220" s="406"/>
      <c r="C220" s="407"/>
      <c r="D220" s="407"/>
      <c r="E220" s="7"/>
      <c r="F220" s="19"/>
      <c r="G220" s="634" t="s">
        <v>881</v>
      </c>
      <c r="H220" s="636"/>
      <c r="I220" s="635"/>
      <c r="J220" s="502"/>
      <c r="K220" s="408">
        <v>950</v>
      </c>
      <c r="L220" s="63">
        <f t="shared" si="22"/>
        <v>84134.050000000061</v>
      </c>
      <c r="M220" s="25"/>
    </row>
    <row r="221" spans="2:13" ht="26.25" customHeight="1" x14ac:dyDescent="0.2">
      <c r="B221" s="409"/>
      <c r="C221" s="410"/>
      <c r="D221" s="411"/>
      <c r="E221" s="412"/>
      <c r="F221" s="413"/>
      <c r="G221" s="505" t="s">
        <v>882</v>
      </c>
      <c r="H221" s="505" t="s">
        <v>866</v>
      </c>
      <c r="I221" s="505"/>
      <c r="J221" s="505"/>
      <c r="K221" s="499">
        <v>2000</v>
      </c>
      <c r="L221" s="63">
        <f t="shared" si="22"/>
        <v>82134.050000000061</v>
      </c>
      <c r="M221" s="25"/>
    </row>
    <row r="222" spans="2:13" ht="14.25" customHeight="1" x14ac:dyDescent="0.2">
      <c r="B222" s="414"/>
      <c r="C222" s="415"/>
      <c r="D222" s="415"/>
      <c r="E222" s="412"/>
      <c r="F222" s="413"/>
      <c r="G222" s="505"/>
      <c r="H222" s="505" t="s">
        <v>867</v>
      </c>
      <c r="I222" s="505"/>
      <c r="J222" s="505"/>
      <c r="K222" s="499">
        <v>2000</v>
      </c>
      <c r="L222" s="63">
        <f t="shared" si="22"/>
        <v>80134.050000000061</v>
      </c>
      <c r="M222" s="25"/>
    </row>
    <row r="223" spans="2:13" ht="14.25" customHeight="1" x14ac:dyDescent="0.2">
      <c r="B223" s="409"/>
      <c r="C223" s="415"/>
      <c r="D223" s="416"/>
      <c r="E223" s="412"/>
      <c r="F223" s="413"/>
      <c r="G223" s="505"/>
      <c r="H223" s="505" t="s">
        <v>579</v>
      </c>
      <c r="I223" s="505"/>
      <c r="J223" s="505"/>
      <c r="K223" s="488">
        <v>1000</v>
      </c>
      <c r="L223" s="63">
        <f t="shared" si="22"/>
        <v>79134.050000000061</v>
      </c>
      <c r="M223" s="25"/>
    </row>
    <row r="224" spans="2:13" ht="14.25" customHeight="1" x14ac:dyDescent="0.2">
      <c r="B224" s="409"/>
      <c r="C224" s="416"/>
      <c r="D224" s="416"/>
      <c r="E224" s="412"/>
      <c r="F224" s="413"/>
      <c r="G224" s="485"/>
      <c r="H224" s="508" t="s">
        <v>868</v>
      </c>
      <c r="I224" s="508"/>
      <c r="J224" s="508"/>
      <c r="K224" s="488">
        <v>1000</v>
      </c>
      <c r="L224" s="63">
        <f t="shared" si="22"/>
        <v>78134.050000000061</v>
      </c>
      <c r="M224" s="25"/>
    </row>
    <row r="225" spans="2:13" ht="14.25" customHeight="1" x14ac:dyDescent="0.2">
      <c r="B225" s="64"/>
      <c r="C225" s="65"/>
      <c r="D225" s="65"/>
      <c r="E225" s="13"/>
      <c r="F225" s="68"/>
      <c r="G225" s="485"/>
      <c r="H225" s="404" t="s">
        <v>870</v>
      </c>
      <c r="I225" s="404"/>
      <c r="J225" s="12"/>
      <c r="K225" s="12">
        <v>1000</v>
      </c>
      <c r="L225" s="63">
        <f t="shared" si="22"/>
        <v>77134.050000000061</v>
      </c>
      <c r="M225" s="25"/>
    </row>
    <row r="226" spans="2:13" ht="14.25" customHeight="1" x14ac:dyDescent="0.2">
      <c r="B226" s="64"/>
      <c r="C226" s="65"/>
      <c r="D226" s="65"/>
      <c r="E226" s="13"/>
      <c r="F226" s="68"/>
      <c r="G226" s="404"/>
      <c r="L226" s="63">
        <f t="shared" si="22"/>
        <v>77134.050000000061</v>
      </c>
      <c r="M226" s="25"/>
    </row>
    <row r="227" spans="2:13" x14ac:dyDescent="0.2">
      <c r="B227" s="64"/>
      <c r="C227" s="65"/>
      <c r="D227" s="65"/>
      <c r="E227" s="13"/>
      <c r="F227" s="68"/>
      <c r="G227" s="634"/>
      <c r="H227" s="636"/>
      <c r="I227" s="635"/>
      <c r="J227" s="12"/>
      <c r="K227" s="12"/>
      <c r="L227" s="63">
        <f t="shared" si="22"/>
        <v>77134.050000000061</v>
      </c>
      <c r="M227" s="25"/>
    </row>
    <row r="228" spans="2:13" x14ac:dyDescent="0.2">
      <c r="B228" s="64"/>
      <c r="C228" s="65"/>
      <c r="D228" s="65"/>
      <c r="E228" s="13"/>
      <c r="F228" s="68"/>
      <c r="G228" s="634"/>
      <c r="H228" s="636"/>
      <c r="I228" s="635"/>
      <c r="J228" s="12"/>
      <c r="K228" s="12"/>
      <c r="L228" s="63">
        <f t="shared" si="22"/>
        <v>77134.050000000061</v>
      </c>
      <c r="M228" s="25"/>
    </row>
    <row r="229" spans="2:13" x14ac:dyDescent="0.2">
      <c r="B229" s="64"/>
      <c r="C229" s="65"/>
      <c r="D229" s="65"/>
      <c r="E229" s="13"/>
      <c r="F229" s="68"/>
      <c r="G229" s="634"/>
      <c r="H229" s="636"/>
      <c r="I229" s="635"/>
      <c r="J229" s="12"/>
      <c r="K229" s="12"/>
      <c r="L229" s="63">
        <f t="shared" si="22"/>
        <v>77134.050000000061</v>
      </c>
      <c r="M229" s="25"/>
    </row>
    <row r="230" spans="2:13" x14ac:dyDescent="0.2">
      <c r="B230" s="64"/>
      <c r="C230" s="65"/>
      <c r="D230" s="65"/>
      <c r="E230" s="13"/>
      <c r="F230" s="68"/>
      <c r="G230" s="634"/>
      <c r="H230" s="636"/>
      <c r="I230" s="635"/>
      <c r="J230" s="12"/>
      <c r="K230" s="12"/>
      <c r="L230" s="63">
        <f t="shared" si="22"/>
        <v>77134.050000000061</v>
      </c>
      <c r="M230" s="25"/>
    </row>
    <row r="231" spans="2:13" x14ac:dyDescent="0.2">
      <c r="B231" s="64"/>
      <c r="C231" s="65"/>
      <c r="D231" s="65"/>
      <c r="E231" s="13"/>
      <c r="F231" s="13"/>
      <c r="G231" s="634"/>
      <c r="H231" s="636"/>
      <c r="I231" s="635"/>
      <c r="J231" s="12"/>
      <c r="K231" s="12"/>
      <c r="L231" s="63">
        <f t="shared" si="22"/>
        <v>77134.050000000061</v>
      </c>
      <c r="M231" s="25"/>
    </row>
    <row r="232" spans="2:13" x14ac:dyDescent="0.2">
      <c r="B232" s="64"/>
      <c r="C232" s="65"/>
      <c r="D232" s="65"/>
      <c r="E232" s="13"/>
      <c r="F232" s="13"/>
      <c r="G232" s="634"/>
      <c r="H232" s="636"/>
      <c r="I232" s="635"/>
      <c r="J232" s="12"/>
      <c r="K232" s="12"/>
      <c r="L232" s="63">
        <f t="shared" si="22"/>
        <v>77134.050000000061</v>
      </c>
      <c r="M232" s="25"/>
    </row>
    <row r="233" spans="2:13" ht="12" customHeight="1" x14ac:dyDescent="0.2">
      <c r="B233" s="64"/>
      <c r="C233" s="65"/>
      <c r="D233" s="65"/>
      <c r="E233" s="13"/>
      <c r="F233" s="13"/>
      <c r="G233" s="634"/>
      <c r="H233" s="636"/>
      <c r="I233" s="635"/>
      <c r="J233" s="12"/>
      <c r="K233" s="61"/>
      <c r="L233" s="63">
        <f t="shared" si="22"/>
        <v>77134.050000000061</v>
      </c>
      <c r="M233" s="25"/>
    </row>
    <row r="234" spans="2:13" ht="12" customHeight="1" x14ac:dyDescent="0.2">
      <c r="B234" s="64"/>
      <c r="C234" s="65"/>
      <c r="D234" s="65"/>
      <c r="E234" s="13"/>
      <c r="F234" s="13"/>
      <c r="G234" s="634"/>
      <c r="H234" s="636"/>
      <c r="I234" s="635"/>
      <c r="J234" s="12"/>
      <c r="K234" s="61"/>
      <c r="L234" s="63">
        <f t="shared" si="22"/>
        <v>77134.050000000061</v>
      </c>
      <c r="M234" s="25"/>
    </row>
    <row r="235" spans="2:13" ht="12" customHeight="1" x14ac:dyDescent="0.2">
      <c r="B235" s="64"/>
      <c r="C235" s="65"/>
      <c r="D235" s="65"/>
      <c r="E235" s="13"/>
      <c r="F235" s="13"/>
      <c r="G235" s="634"/>
      <c r="H235" s="636"/>
      <c r="I235" s="635"/>
      <c r="J235" s="12"/>
      <c r="K235" s="12"/>
      <c r="L235" s="63">
        <f t="shared" ref="L235:L241" si="23">+J235-K235+L234</f>
        <v>77134.050000000061</v>
      </c>
      <c r="M235" s="25"/>
    </row>
    <row r="236" spans="2:13" ht="12" customHeight="1" x14ac:dyDescent="0.2">
      <c r="B236" s="64"/>
      <c r="C236" s="65"/>
      <c r="D236" s="65"/>
      <c r="E236" s="13"/>
      <c r="F236" s="13"/>
      <c r="G236" s="634"/>
      <c r="H236" s="636"/>
      <c r="I236" s="635"/>
      <c r="J236" s="12"/>
      <c r="K236" s="12"/>
      <c r="L236" s="63">
        <f t="shared" si="23"/>
        <v>77134.050000000061</v>
      </c>
      <c r="M236" s="25"/>
    </row>
    <row r="237" spans="2:13" ht="12" customHeight="1" x14ac:dyDescent="0.2">
      <c r="B237" s="64"/>
      <c r="C237" s="77"/>
      <c r="D237" s="65"/>
      <c r="E237" s="13"/>
      <c r="F237" s="13"/>
      <c r="G237" s="481"/>
      <c r="H237" s="481"/>
      <c r="I237" s="481"/>
      <c r="J237" s="12"/>
      <c r="K237" s="12"/>
      <c r="L237" s="63">
        <f t="shared" si="23"/>
        <v>77134.050000000061</v>
      </c>
      <c r="M237" s="25"/>
    </row>
    <row r="238" spans="2:13" ht="12" customHeight="1" x14ac:dyDescent="0.2">
      <c r="B238" s="64"/>
      <c r="C238" s="65"/>
      <c r="D238" s="65"/>
      <c r="E238" s="13"/>
      <c r="F238" s="13"/>
      <c r="G238" s="481"/>
      <c r="H238" s="481"/>
      <c r="I238" s="481"/>
      <c r="J238" s="12"/>
      <c r="K238" s="12"/>
      <c r="L238" s="63">
        <f t="shared" si="23"/>
        <v>77134.050000000061</v>
      </c>
      <c r="M238" s="25"/>
    </row>
    <row r="239" spans="2:13" x14ac:dyDescent="0.2">
      <c r="B239" s="64"/>
      <c r="C239" s="65"/>
      <c r="D239" s="65"/>
      <c r="E239" s="13"/>
      <c r="F239" s="13"/>
      <c r="G239" s="69"/>
      <c r="H239" s="483"/>
      <c r="I239" s="483"/>
      <c r="J239" s="12"/>
      <c r="K239" s="12"/>
      <c r="L239" s="63">
        <f t="shared" si="23"/>
        <v>77134.050000000061</v>
      </c>
      <c r="M239" s="25"/>
    </row>
    <row r="240" spans="2:13" x14ac:dyDescent="0.2">
      <c r="B240" s="64"/>
      <c r="C240" s="65"/>
      <c r="D240" s="65"/>
      <c r="E240" s="13"/>
      <c r="F240" s="13"/>
      <c r="G240" s="81"/>
      <c r="H240" s="62"/>
      <c r="I240" s="12"/>
      <c r="J240" s="12"/>
      <c r="K240" s="12"/>
      <c r="L240" s="63">
        <f t="shared" si="23"/>
        <v>77134.050000000061</v>
      </c>
      <c r="M240" s="25"/>
    </row>
    <row r="241" spans="2:13" x14ac:dyDescent="0.2">
      <c r="B241" s="64"/>
      <c r="C241" s="65"/>
      <c r="D241" s="65"/>
      <c r="E241" s="3"/>
      <c r="F241" s="13"/>
      <c r="G241" s="81"/>
      <c r="H241" s="62"/>
      <c r="I241" s="12"/>
      <c r="J241" s="12"/>
      <c r="K241" s="12"/>
      <c r="L241" s="63">
        <f t="shared" si="23"/>
        <v>77134.050000000061</v>
      </c>
      <c r="M241" s="25"/>
    </row>
    <row r="242" spans="2:13" ht="12.75" thickBot="1" x14ac:dyDescent="0.25">
      <c r="B242" s="64"/>
      <c r="C242" s="65"/>
      <c r="D242" s="65"/>
      <c r="E242" s="13"/>
      <c r="F242" s="13"/>
      <c r="G242" s="104"/>
      <c r="H242" s="84"/>
      <c r="I242" s="12"/>
      <c r="J242" s="12"/>
      <c r="K242" s="12"/>
      <c r="L242" s="63"/>
      <c r="M242" s="25"/>
    </row>
    <row r="243" spans="2:13" x14ac:dyDescent="0.2">
      <c r="B243" s="56"/>
      <c r="C243" s="57"/>
      <c r="D243" s="57"/>
      <c r="E243" s="5"/>
      <c r="F243" s="5"/>
      <c r="G243" s="85" t="s">
        <v>26</v>
      </c>
      <c r="H243" s="107">
        <f>SUM(H167:H209)</f>
        <v>6804</v>
      </c>
      <c r="I243" s="105">
        <f>SUM(I167:I208)</f>
        <v>2177.2800000000002</v>
      </c>
      <c r="J243" s="106">
        <f>SUM(J167:J208)</f>
        <v>4626.72</v>
      </c>
      <c r="K243" s="106">
        <f>SUM(K214:K241)</f>
        <v>14250</v>
      </c>
      <c r="L243" s="108"/>
      <c r="M243" s="25"/>
    </row>
    <row r="244" spans="2:13" ht="12.75" thickBot="1" x14ac:dyDescent="0.25">
      <c r="B244" s="71"/>
      <c r="C244" s="72"/>
      <c r="D244" s="72"/>
      <c r="E244" s="73"/>
      <c r="F244" s="73"/>
      <c r="G244" s="86" t="s">
        <v>13</v>
      </c>
      <c r="H244" s="100"/>
      <c r="I244" s="99"/>
      <c r="J244" s="87"/>
      <c r="K244" s="87"/>
      <c r="L244" s="88">
        <f>+J243-K243+L166</f>
        <v>77134.050000000047</v>
      </c>
      <c r="M244" s="25"/>
    </row>
    <row r="245" spans="2:13" x14ac:dyDescent="0.2">
      <c r="B245" s="25"/>
      <c r="H245" s="74"/>
      <c r="I245" s="25"/>
      <c r="L245" s="25"/>
      <c r="M245" s="25"/>
    </row>
    <row r="246" spans="2:13" ht="12" customHeight="1" x14ac:dyDescent="0.2">
      <c r="B246" s="544" t="s">
        <v>48</v>
      </c>
      <c r="C246" s="545"/>
      <c r="D246" s="545"/>
      <c r="E246" s="545"/>
      <c r="F246" s="545"/>
      <c r="G246" s="545"/>
      <c r="H246" s="545"/>
      <c r="I246" s="545"/>
      <c r="J246" s="545"/>
      <c r="K246" s="545"/>
      <c r="L246" s="546"/>
      <c r="M246" s="25"/>
    </row>
    <row r="247" spans="2:13" x14ac:dyDescent="0.2">
      <c r="B247" s="547" t="s">
        <v>574</v>
      </c>
      <c r="C247" s="548"/>
      <c r="D247" s="548"/>
      <c r="E247" s="548"/>
      <c r="F247" s="548"/>
      <c r="G247" s="548"/>
      <c r="H247" s="548"/>
      <c r="I247" s="548"/>
      <c r="J247" s="548"/>
      <c r="K247" s="548"/>
      <c r="L247" s="549"/>
      <c r="M247" s="25"/>
    </row>
    <row r="248" spans="2:13" x14ac:dyDescent="0.2">
      <c r="B248" s="550" t="s">
        <v>50</v>
      </c>
      <c r="C248" s="550"/>
      <c r="D248" s="551" t="s">
        <v>51</v>
      </c>
      <c r="E248" s="551"/>
      <c r="F248" s="551"/>
      <c r="G248" s="472"/>
      <c r="H248" s="472"/>
      <c r="I248" s="472"/>
      <c r="J248" s="472"/>
      <c r="K248" s="472"/>
      <c r="L248" s="473"/>
      <c r="M248" s="25"/>
    </row>
    <row r="249" spans="2:13" ht="24" x14ac:dyDescent="0.2">
      <c r="B249" s="56" t="s">
        <v>1</v>
      </c>
      <c r="C249" s="57" t="s">
        <v>2</v>
      </c>
      <c r="D249" s="57" t="s">
        <v>2</v>
      </c>
      <c r="E249" s="5" t="s">
        <v>3</v>
      </c>
      <c r="F249" s="5" t="s">
        <v>4</v>
      </c>
      <c r="G249" s="89" t="s">
        <v>6</v>
      </c>
      <c r="H249" s="83" t="s">
        <v>7</v>
      </c>
      <c r="I249" s="83" t="s">
        <v>52</v>
      </c>
      <c r="J249" s="83" t="s">
        <v>53</v>
      </c>
      <c r="K249" s="5" t="s">
        <v>10</v>
      </c>
      <c r="L249" s="5" t="s">
        <v>11</v>
      </c>
      <c r="M249" s="25"/>
    </row>
    <row r="250" spans="2:13" x14ac:dyDescent="0.2">
      <c r="B250" s="58"/>
      <c r="C250" s="59"/>
      <c r="D250" s="59"/>
      <c r="E250" s="13"/>
      <c r="F250" s="13"/>
      <c r="G250" s="24"/>
      <c r="H250" s="60"/>
      <c r="I250" s="61"/>
      <c r="J250" s="61"/>
      <c r="K250" s="61"/>
      <c r="L250" s="60">
        <f>L244</f>
        <v>77134.050000000047</v>
      </c>
      <c r="M250" s="25"/>
    </row>
    <row r="251" spans="2:13" x14ac:dyDescent="0.2">
      <c r="B251" s="110"/>
      <c r="C251" s="353"/>
      <c r="D251" s="11"/>
      <c r="E251" s="15"/>
      <c r="F251" s="15"/>
      <c r="G251" s="15"/>
      <c r="H251" s="112"/>
      <c r="I251" s="12">
        <f>H251*0.32</f>
        <v>0</v>
      </c>
      <c r="J251" s="12">
        <f>H251*0.68</f>
        <v>0</v>
      </c>
      <c r="K251" s="12"/>
      <c r="L251" s="63">
        <f>+J251-K251+L250</f>
        <v>77134.050000000047</v>
      </c>
      <c r="M251" s="25"/>
    </row>
    <row r="252" spans="2:13" x14ac:dyDescent="0.2">
      <c r="B252" s="110"/>
      <c r="C252" s="353"/>
      <c r="D252" s="11"/>
      <c r="E252" s="15"/>
      <c r="F252" s="15"/>
      <c r="G252" s="15"/>
      <c r="H252" s="112"/>
      <c r="I252" s="12">
        <f t="shared" ref="I252:I295" si="24">H252*0.32</f>
        <v>0</v>
      </c>
      <c r="J252" s="12">
        <f t="shared" ref="J252:J295" si="25">H252*0.68</f>
        <v>0</v>
      </c>
      <c r="K252" s="12"/>
      <c r="L252" s="63">
        <f>+J252-K252+L251</f>
        <v>77134.050000000047</v>
      </c>
      <c r="M252" s="25"/>
    </row>
    <row r="253" spans="2:13" x14ac:dyDescent="0.2">
      <c r="B253" s="110"/>
      <c r="C253" s="353"/>
      <c r="D253" s="11"/>
      <c r="E253" s="15"/>
      <c r="F253" s="15"/>
      <c r="G253" s="15"/>
      <c r="H253" s="112"/>
      <c r="I253" s="12">
        <f t="shared" si="24"/>
        <v>0</v>
      </c>
      <c r="J253" s="12">
        <f t="shared" si="25"/>
        <v>0</v>
      </c>
      <c r="K253" s="12"/>
      <c r="L253" s="63">
        <f>+J253-K253+L252</f>
        <v>77134.050000000047</v>
      </c>
      <c r="M253" s="25"/>
    </row>
    <row r="254" spans="2:13" x14ac:dyDescent="0.2">
      <c r="B254" s="427"/>
      <c r="C254" s="435"/>
      <c r="D254" s="415"/>
      <c r="E254" s="436"/>
      <c r="F254" s="436"/>
      <c r="G254" s="433"/>
      <c r="H254" s="437"/>
      <c r="I254" s="12">
        <f t="shared" si="24"/>
        <v>0</v>
      </c>
      <c r="J254" s="12">
        <f t="shared" si="25"/>
        <v>0</v>
      </c>
      <c r="K254" s="12"/>
      <c r="L254" s="63">
        <f>+J254-K254+L253</f>
        <v>77134.050000000047</v>
      </c>
      <c r="M254" s="25"/>
    </row>
    <row r="255" spans="2:13" x14ac:dyDescent="0.2">
      <c r="B255" s="110"/>
      <c r="C255" s="353"/>
      <c r="D255" s="11"/>
      <c r="E255" s="15"/>
      <c r="F255" s="15"/>
      <c r="G255" s="15"/>
      <c r="H255" s="425"/>
      <c r="I255" s="12">
        <f t="shared" si="24"/>
        <v>0</v>
      </c>
      <c r="J255" s="12">
        <f t="shared" si="25"/>
        <v>0</v>
      </c>
      <c r="K255" s="12"/>
      <c r="L255" s="63">
        <f t="shared" ref="L255:L316" si="26">+J255-K255+L254</f>
        <v>77134.050000000047</v>
      </c>
      <c r="M255" s="25"/>
    </row>
    <row r="256" spans="2:13" x14ac:dyDescent="0.2">
      <c r="B256" s="110"/>
      <c r="C256" s="353"/>
      <c r="D256" s="11"/>
      <c r="E256" s="15"/>
      <c r="F256" s="15"/>
      <c r="G256" s="15"/>
      <c r="H256" s="112"/>
      <c r="I256" s="12">
        <f t="shared" si="24"/>
        <v>0</v>
      </c>
      <c r="J256" s="12">
        <f t="shared" si="25"/>
        <v>0</v>
      </c>
      <c r="K256" s="12"/>
      <c r="L256" s="63">
        <f t="shared" si="26"/>
        <v>77134.050000000047</v>
      </c>
      <c r="M256" s="25"/>
    </row>
    <row r="257" spans="2:13" x14ac:dyDescent="0.2">
      <c r="B257" s="110"/>
      <c r="C257" s="353"/>
      <c r="D257" s="11"/>
      <c r="E257" s="15"/>
      <c r="F257" s="15"/>
      <c r="G257" s="15"/>
      <c r="H257" s="112"/>
      <c r="I257" s="12">
        <f t="shared" si="24"/>
        <v>0</v>
      </c>
      <c r="J257" s="12">
        <f t="shared" si="25"/>
        <v>0</v>
      </c>
      <c r="K257" s="12"/>
      <c r="L257" s="63">
        <f t="shared" si="26"/>
        <v>77134.050000000047</v>
      </c>
      <c r="M257" s="25"/>
    </row>
    <row r="258" spans="2:13" x14ac:dyDescent="0.2">
      <c r="B258" s="110"/>
      <c r="C258" s="353"/>
      <c r="D258" s="11"/>
      <c r="E258" s="15"/>
      <c r="F258" s="15"/>
      <c r="G258" s="15"/>
      <c r="H258" s="112"/>
      <c r="I258" s="12">
        <f t="shared" si="24"/>
        <v>0</v>
      </c>
      <c r="J258" s="12">
        <f t="shared" si="25"/>
        <v>0</v>
      </c>
      <c r="K258" s="12"/>
      <c r="L258" s="63">
        <f t="shared" si="26"/>
        <v>77134.050000000047</v>
      </c>
      <c r="M258" s="25"/>
    </row>
    <row r="259" spans="2:13" x14ac:dyDescent="0.2">
      <c r="B259" s="110"/>
      <c r="C259" s="353"/>
      <c r="D259" s="11"/>
      <c r="E259" s="15"/>
      <c r="F259" s="15"/>
      <c r="G259" s="15"/>
      <c r="H259" s="112"/>
      <c r="I259" s="12">
        <f t="shared" si="24"/>
        <v>0</v>
      </c>
      <c r="J259" s="12">
        <f t="shared" si="25"/>
        <v>0</v>
      </c>
      <c r="K259" s="12"/>
      <c r="L259" s="63">
        <f t="shared" si="26"/>
        <v>77134.050000000047</v>
      </c>
      <c r="M259" s="25"/>
    </row>
    <row r="260" spans="2:13" x14ac:dyDescent="0.2">
      <c r="B260" s="110"/>
      <c r="C260" s="353"/>
      <c r="D260" s="11"/>
      <c r="E260" s="15"/>
      <c r="F260" s="15"/>
      <c r="G260" s="15"/>
      <c r="H260" s="112"/>
      <c r="I260" s="12">
        <f t="shared" si="24"/>
        <v>0</v>
      </c>
      <c r="J260" s="12">
        <f t="shared" si="25"/>
        <v>0</v>
      </c>
      <c r="K260" s="12"/>
      <c r="L260" s="63">
        <f t="shared" si="26"/>
        <v>77134.050000000047</v>
      </c>
      <c r="M260" s="25"/>
    </row>
    <row r="261" spans="2:13" x14ac:dyDescent="0.2">
      <c r="B261" s="110"/>
      <c r="C261" s="353"/>
      <c r="D261" s="11"/>
      <c r="E261" s="15"/>
      <c r="F261" s="15"/>
      <c r="G261" s="15"/>
      <c r="H261" s="112"/>
      <c r="I261" s="12">
        <f t="shared" si="24"/>
        <v>0</v>
      </c>
      <c r="J261" s="12">
        <f t="shared" si="25"/>
        <v>0</v>
      </c>
      <c r="K261" s="12"/>
      <c r="L261" s="63">
        <f t="shared" si="26"/>
        <v>77134.050000000047</v>
      </c>
      <c r="M261" s="25"/>
    </row>
    <row r="262" spans="2:13" x14ac:dyDescent="0.2">
      <c r="B262" s="110"/>
      <c r="C262" s="353"/>
      <c r="D262" s="11"/>
      <c r="E262" s="15"/>
      <c r="F262" s="15"/>
      <c r="G262" s="15"/>
      <c r="H262" s="112"/>
      <c r="I262" s="12">
        <f t="shared" si="24"/>
        <v>0</v>
      </c>
      <c r="J262" s="12">
        <f t="shared" si="25"/>
        <v>0</v>
      </c>
      <c r="K262" s="12"/>
      <c r="L262" s="63">
        <f t="shared" si="26"/>
        <v>77134.050000000047</v>
      </c>
      <c r="M262" s="25"/>
    </row>
    <row r="263" spans="2:13" x14ac:dyDescent="0.2">
      <c r="B263" s="110"/>
      <c r="C263" s="353"/>
      <c r="D263" s="11"/>
      <c r="E263" s="15"/>
      <c r="F263" s="15"/>
      <c r="G263" s="15"/>
      <c r="H263" s="112"/>
      <c r="I263" s="12">
        <f t="shared" si="24"/>
        <v>0</v>
      </c>
      <c r="J263" s="12">
        <f t="shared" si="25"/>
        <v>0</v>
      </c>
      <c r="K263" s="12"/>
      <c r="L263" s="63">
        <f t="shared" si="26"/>
        <v>77134.050000000047</v>
      </c>
      <c r="M263" s="25"/>
    </row>
    <row r="264" spans="2:13" x14ac:dyDescent="0.2">
      <c r="B264" s="110"/>
      <c r="C264" s="353"/>
      <c r="D264" s="11"/>
      <c r="E264" s="15"/>
      <c r="F264" s="15"/>
      <c r="G264" s="15"/>
      <c r="H264" s="112"/>
      <c r="I264" s="12">
        <f t="shared" si="24"/>
        <v>0</v>
      </c>
      <c r="J264" s="12">
        <f t="shared" si="25"/>
        <v>0</v>
      </c>
      <c r="K264" s="12"/>
      <c r="L264" s="63">
        <f t="shared" si="26"/>
        <v>77134.050000000047</v>
      </c>
      <c r="M264" s="25"/>
    </row>
    <row r="265" spans="2:13" x14ac:dyDescent="0.2">
      <c r="B265" s="110"/>
      <c r="C265" s="353"/>
      <c r="D265" s="77"/>
      <c r="E265" s="13"/>
      <c r="F265" s="15"/>
      <c r="G265" s="15"/>
      <c r="H265" s="112"/>
      <c r="I265" s="12">
        <f t="shared" si="24"/>
        <v>0</v>
      </c>
      <c r="J265" s="12">
        <f t="shared" si="25"/>
        <v>0</v>
      </c>
      <c r="K265" s="12"/>
      <c r="L265" s="63">
        <f t="shared" si="26"/>
        <v>77134.050000000047</v>
      </c>
      <c r="M265" s="25"/>
    </row>
    <row r="266" spans="2:13" x14ac:dyDescent="0.2">
      <c r="B266" s="110"/>
      <c r="C266" s="353"/>
      <c r="D266" s="65"/>
      <c r="E266" s="13"/>
      <c r="F266" s="15"/>
      <c r="G266" s="66"/>
      <c r="H266" s="112"/>
      <c r="I266" s="12">
        <f t="shared" si="24"/>
        <v>0</v>
      </c>
      <c r="J266" s="12">
        <f t="shared" si="25"/>
        <v>0</v>
      </c>
      <c r="K266" s="12"/>
      <c r="L266" s="63">
        <f t="shared" si="26"/>
        <v>77134.050000000047</v>
      </c>
      <c r="M266" s="25"/>
    </row>
    <row r="267" spans="2:13" x14ac:dyDescent="0.2">
      <c r="B267" s="110"/>
      <c r="C267" s="353"/>
      <c r="D267" s="65"/>
      <c r="E267" s="13"/>
      <c r="F267" s="15"/>
      <c r="G267" s="66"/>
      <c r="H267" s="112"/>
      <c r="I267" s="12">
        <f t="shared" si="24"/>
        <v>0</v>
      </c>
      <c r="J267" s="12">
        <f t="shared" si="25"/>
        <v>0</v>
      </c>
      <c r="K267" s="12"/>
      <c r="L267" s="63">
        <f t="shared" si="26"/>
        <v>77134.050000000047</v>
      </c>
      <c r="M267" s="25"/>
    </row>
    <row r="268" spans="2:13" x14ac:dyDescent="0.2">
      <c r="B268" s="110"/>
      <c r="C268" s="353"/>
      <c r="D268" s="65"/>
      <c r="E268" s="13"/>
      <c r="F268" s="15"/>
      <c r="G268" s="66"/>
      <c r="H268" s="112"/>
      <c r="I268" s="12">
        <f t="shared" si="24"/>
        <v>0</v>
      </c>
      <c r="J268" s="12">
        <f t="shared" si="25"/>
        <v>0</v>
      </c>
      <c r="K268" s="12"/>
      <c r="L268" s="63">
        <f t="shared" si="26"/>
        <v>77134.050000000047</v>
      </c>
      <c r="M268" s="25"/>
    </row>
    <row r="269" spans="2:13" x14ac:dyDescent="0.2">
      <c r="B269" s="110"/>
      <c r="C269" s="353"/>
      <c r="D269" s="65"/>
      <c r="E269" s="13"/>
      <c r="F269" s="15"/>
      <c r="G269" s="66"/>
      <c r="H269" s="112"/>
      <c r="I269" s="12">
        <f t="shared" si="24"/>
        <v>0</v>
      </c>
      <c r="J269" s="12">
        <f t="shared" si="25"/>
        <v>0</v>
      </c>
      <c r="K269" s="12"/>
      <c r="L269" s="63">
        <f t="shared" si="26"/>
        <v>77134.050000000047</v>
      </c>
      <c r="M269" s="25"/>
    </row>
    <row r="270" spans="2:13" x14ac:dyDescent="0.2">
      <c r="B270" s="110"/>
      <c r="C270" s="353"/>
      <c r="D270" s="65"/>
      <c r="E270" s="13"/>
      <c r="F270" s="15"/>
      <c r="G270" s="66"/>
      <c r="H270" s="112"/>
      <c r="I270" s="12">
        <f t="shared" si="24"/>
        <v>0</v>
      </c>
      <c r="J270" s="12">
        <f t="shared" si="25"/>
        <v>0</v>
      </c>
      <c r="K270" s="12"/>
      <c r="L270" s="63">
        <f t="shared" si="26"/>
        <v>77134.050000000047</v>
      </c>
      <c r="M270" s="25"/>
    </row>
    <row r="271" spans="2:13" x14ac:dyDescent="0.2">
      <c r="B271" s="110"/>
      <c r="C271" s="353"/>
      <c r="D271" s="65"/>
      <c r="E271" s="13"/>
      <c r="F271" s="15"/>
      <c r="G271" s="66"/>
      <c r="H271" s="112"/>
      <c r="I271" s="12">
        <f t="shared" si="24"/>
        <v>0</v>
      </c>
      <c r="J271" s="12">
        <f t="shared" si="25"/>
        <v>0</v>
      </c>
      <c r="K271" s="12"/>
      <c r="L271" s="63">
        <f t="shared" si="26"/>
        <v>77134.050000000047</v>
      </c>
      <c r="M271" s="25"/>
    </row>
    <row r="272" spans="2:13" x14ac:dyDescent="0.2">
      <c r="B272" s="110"/>
      <c r="C272" s="353"/>
      <c r="D272" s="65"/>
      <c r="E272" s="13"/>
      <c r="F272" s="15"/>
      <c r="G272" s="66"/>
      <c r="H272" s="112"/>
      <c r="I272" s="12">
        <f t="shared" si="24"/>
        <v>0</v>
      </c>
      <c r="J272" s="12">
        <f t="shared" si="25"/>
        <v>0</v>
      </c>
      <c r="K272" s="12"/>
      <c r="L272" s="63">
        <f t="shared" si="26"/>
        <v>77134.050000000047</v>
      </c>
      <c r="M272" s="25"/>
    </row>
    <row r="273" spans="2:13" x14ac:dyDescent="0.2">
      <c r="B273" s="110"/>
      <c r="C273" s="353"/>
      <c r="D273" s="65"/>
      <c r="E273" s="13"/>
      <c r="F273" s="15"/>
      <c r="G273" s="66"/>
      <c r="H273" s="112"/>
      <c r="I273" s="12">
        <f t="shared" si="24"/>
        <v>0</v>
      </c>
      <c r="J273" s="12">
        <f t="shared" si="25"/>
        <v>0</v>
      </c>
      <c r="K273" s="12"/>
      <c r="L273" s="63">
        <f t="shared" si="26"/>
        <v>77134.050000000047</v>
      </c>
      <c r="M273" s="25"/>
    </row>
    <row r="274" spans="2:13" x14ac:dyDescent="0.2">
      <c r="B274" s="110"/>
      <c r="C274" s="353"/>
      <c r="D274" s="65"/>
      <c r="E274" s="13"/>
      <c r="F274" s="15"/>
      <c r="G274" s="66"/>
      <c r="H274" s="112"/>
      <c r="I274" s="12">
        <f t="shared" si="24"/>
        <v>0</v>
      </c>
      <c r="J274" s="12">
        <f t="shared" si="25"/>
        <v>0</v>
      </c>
      <c r="K274" s="12"/>
      <c r="L274" s="63">
        <f t="shared" si="26"/>
        <v>77134.050000000047</v>
      </c>
      <c r="M274" s="25"/>
    </row>
    <row r="275" spans="2:13" x14ac:dyDescent="0.2">
      <c r="B275" s="110"/>
      <c r="C275" s="353"/>
      <c r="D275" s="65"/>
      <c r="E275" s="13"/>
      <c r="F275" s="15"/>
      <c r="G275" s="66"/>
      <c r="H275" s="112"/>
      <c r="I275" s="12">
        <f t="shared" si="24"/>
        <v>0</v>
      </c>
      <c r="J275" s="12">
        <f t="shared" si="25"/>
        <v>0</v>
      </c>
      <c r="K275" s="12"/>
      <c r="L275" s="63">
        <f t="shared" si="26"/>
        <v>77134.050000000047</v>
      </c>
      <c r="M275" s="25"/>
    </row>
    <row r="276" spans="2:13" x14ac:dyDescent="0.2">
      <c r="B276" s="110"/>
      <c r="C276" s="353"/>
      <c r="D276" s="65"/>
      <c r="E276" s="13"/>
      <c r="F276" s="15"/>
      <c r="G276" s="66"/>
      <c r="H276" s="112"/>
      <c r="I276" s="12">
        <f t="shared" si="24"/>
        <v>0</v>
      </c>
      <c r="J276" s="12">
        <f t="shared" si="25"/>
        <v>0</v>
      </c>
      <c r="K276" s="12"/>
      <c r="L276" s="63">
        <f t="shared" si="26"/>
        <v>77134.050000000047</v>
      </c>
      <c r="M276" s="25"/>
    </row>
    <row r="277" spans="2:13" x14ac:dyDescent="0.2">
      <c r="B277" s="110"/>
      <c r="C277" s="353"/>
      <c r="D277" s="65"/>
      <c r="E277" s="13"/>
      <c r="F277" s="15"/>
      <c r="G277" s="66"/>
      <c r="H277" s="112"/>
      <c r="I277" s="12">
        <f t="shared" si="24"/>
        <v>0</v>
      </c>
      <c r="J277" s="12">
        <f t="shared" si="25"/>
        <v>0</v>
      </c>
      <c r="K277" s="12"/>
      <c r="L277" s="63">
        <f t="shared" si="26"/>
        <v>77134.050000000047</v>
      </c>
      <c r="M277" s="25"/>
    </row>
    <row r="278" spans="2:13" x14ac:dyDescent="0.2">
      <c r="B278" s="110"/>
      <c r="C278" s="353"/>
      <c r="D278" s="65"/>
      <c r="E278" s="13"/>
      <c r="F278" s="15"/>
      <c r="G278" s="66"/>
      <c r="H278" s="112"/>
      <c r="I278" s="12">
        <f t="shared" si="24"/>
        <v>0</v>
      </c>
      <c r="J278" s="12">
        <f t="shared" si="25"/>
        <v>0</v>
      </c>
      <c r="K278" s="12"/>
      <c r="L278" s="63">
        <f t="shared" si="26"/>
        <v>77134.050000000047</v>
      </c>
      <c r="M278" s="25"/>
    </row>
    <row r="279" spans="2:13" x14ac:dyDescent="0.2">
      <c r="B279" s="110"/>
      <c r="C279" s="353"/>
      <c r="D279" s="65"/>
      <c r="E279" s="13"/>
      <c r="F279" s="15"/>
      <c r="G279" s="66"/>
      <c r="H279" s="112"/>
      <c r="I279" s="12">
        <f t="shared" si="24"/>
        <v>0</v>
      </c>
      <c r="J279" s="12">
        <f t="shared" si="25"/>
        <v>0</v>
      </c>
      <c r="K279" s="12"/>
      <c r="L279" s="63">
        <f t="shared" si="26"/>
        <v>77134.050000000047</v>
      </c>
      <c r="M279" s="25"/>
    </row>
    <row r="280" spans="2:13" x14ac:dyDescent="0.2">
      <c r="B280" s="110"/>
      <c r="C280" s="353"/>
      <c r="D280" s="65"/>
      <c r="E280" s="13"/>
      <c r="F280" s="15"/>
      <c r="G280" s="66"/>
      <c r="H280" s="112"/>
      <c r="I280" s="12">
        <f t="shared" si="24"/>
        <v>0</v>
      </c>
      <c r="J280" s="12">
        <f t="shared" si="25"/>
        <v>0</v>
      </c>
      <c r="K280" s="12"/>
      <c r="L280" s="63">
        <f t="shared" si="26"/>
        <v>77134.050000000047</v>
      </c>
      <c r="M280" s="25"/>
    </row>
    <row r="281" spans="2:13" x14ac:dyDescent="0.2">
      <c r="B281" s="110"/>
      <c r="C281" s="353"/>
      <c r="D281" s="65"/>
      <c r="E281" s="13"/>
      <c r="F281" s="15"/>
      <c r="G281" s="66"/>
      <c r="H281" s="112"/>
      <c r="I281" s="12">
        <f t="shared" si="24"/>
        <v>0</v>
      </c>
      <c r="J281" s="12">
        <f t="shared" si="25"/>
        <v>0</v>
      </c>
      <c r="K281" s="12"/>
      <c r="L281" s="63">
        <f t="shared" si="26"/>
        <v>77134.050000000047</v>
      </c>
      <c r="M281" s="25"/>
    </row>
    <row r="282" spans="2:13" x14ac:dyDescent="0.2">
      <c r="B282" s="110"/>
      <c r="C282" s="353"/>
      <c r="D282" s="65"/>
      <c r="E282" s="13"/>
      <c r="F282" s="15"/>
      <c r="G282" s="66"/>
      <c r="H282" s="112"/>
      <c r="I282" s="12">
        <f t="shared" si="24"/>
        <v>0</v>
      </c>
      <c r="J282" s="12">
        <f t="shared" si="25"/>
        <v>0</v>
      </c>
      <c r="K282" s="12"/>
      <c r="L282" s="63">
        <f t="shared" si="26"/>
        <v>77134.050000000047</v>
      </c>
      <c r="M282" s="25"/>
    </row>
    <row r="283" spans="2:13" x14ac:dyDescent="0.2">
      <c r="B283" s="110"/>
      <c r="C283" s="353"/>
      <c r="D283" s="65"/>
      <c r="E283" s="13"/>
      <c r="F283" s="15"/>
      <c r="G283" s="66"/>
      <c r="H283" s="112"/>
      <c r="I283" s="12">
        <f t="shared" si="24"/>
        <v>0</v>
      </c>
      <c r="J283" s="12">
        <f t="shared" si="25"/>
        <v>0</v>
      </c>
      <c r="K283" s="12"/>
      <c r="L283" s="63">
        <f t="shared" si="26"/>
        <v>77134.050000000047</v>
      </c>
      <c r="M283" s="25"/>
    </row>
    <row r="284" spans="2:13" x14ac:dyDescent="0.2">
      <c r="B284" s="110"/>
      <c r="C284" s="353"/>
      <c r="D284" s="65"/>
      <c r="E284" s="13"/>
      <c r="F284" s="15"/>
      <c r="G284" s="66"/>
      <c r="H284" s="112"/>
      <c r="I284" s="12">
        <f t="shared" si="24"/>
        <v>0</v>
      </c>
      <c r="J284" s="12">
        <f t="shared" si="25"/>
        <v>0</v>
      </c>
      <c r="K284" s="12"/>
      <c r="L284" s="63">
        <f t="shared" si="26"/>
        <v>77134.050000000047</v>
      </c>
      <c r="M284" s="25"/>
    </row>
    <row r="285" spans="2:13" x14ac:dyDescent="0.2">
      <c r="B285" s="110"/>
      <c r="C285" s="353"/>
      <c r="D285" s="65"/>
      <c r="E285" s="13"/>
      <c r="F285" s="15"/>
      <c r="G285" s="66"/>
      <c r="H285" s="112"/>
      <c r="I285" s="12">
        <f t="shared" si="24"/>
        <v>0</v>
      </c>
      <c r="J285" s="12">
        <f t="shared" si="25"/>
        <v>0</v>
      </c>
      <c r="K285" s="12"/>
      <c r="L285" s="63">
        <f t="shared" si="26"/>
        <v>77134.050000000047</v>
      </c>
      <c r="M285" s="25"/>
    </row>
    <row r="286" spans="2:13" x14ac:dyDescent="0.2">
      <c r="B286" s="110"/>
      <c r="C286" s="353"/>
      <c r="D286" s="65"/>
      <c r="E286" s="13"/>
      <c r="F286" s="15"/>
      <c r="G286" s="66"/>
      <c r="H286" s="112"/>
      <c r="I286" s="12">
        <f t="shared" si="24"/>
        <v>0</v>
      </c>
      <c r="J286" s="12">
        <f t="shared" si="25"/>
        <v>0</v>
      </c>
      <c r="K286" s="12"/>
      <c r="L286" s="63">
        <f t="shared" si="26"/>
        <v>77134.050000000047</v>
      </c>
      <c r="M286" s="25"/>
    </row>
    <row r="287" spans="2:13" x14ac:dyDescent="0.2">
      <c r="B287" s="110"/>
      <c r="C287" s="353"/>
      <c r="D287" s="65"/>
      <c r="E287" s="13"/>
      <c r="F287" s="15"/>
      <c r="G287" s="66"/>
      <c r="H287" s="112"/>
      <c r="I287" s="12">
        <f t="shared" si="24"/>
        <v>0</v>
      </c>
      <c r="J287" s="12">
        <f t="shared" si="25"/>
        <v>0</v>
      </c>
      <c r="K287" s="12"/>
      <c r="L287" s="63">
        <f t="shared" si="26"/>
        <v>77134.050000000047</v>
      </c>
      <c r="M287" s="25"/>
    </row>
    <row r="288" spans="2:13" x14ac:dyDescent="0.2">
      <c r="B288" s="110"/>
      <c r="C288" s="353"/>
      <c r="D288" s="65"/>
      <c r="E288" s="13"/>
      <c r="F288" s="15"/>
      <c r="G288" s="66"/>
      <c r="H288" s="112"/>
      <c r="I288" s="12">
        <f t="shared" si="24"/>
        <v>0</v>
      </c>
      <c r="J288" s="12">
        <f t="shared" si="25"/>
        <v>0</v>
      </c>
      <c r="K288" s="12"/>
      <c r="L288" s="63">
        <f t="shared" si="26"/>
        <v>77134.050000000047</v>
      </c>
      <c r="M288" s="25"/>
    </row>
    <row r="289" spans="2:13" x14ac:dyDescent="0.2">
      <c r="B289" s="110"/>
      <c r="C289" s="353"/>
      <c r="D289" s="65"/>
      <c r="E289" s="13"/>
      <c r="F289" s="15"/>
      <c r="G289" s="66"/>
      <c r="H289" s="112"/>
      <c r="I289" s="12">
        <f t="shared" si="24"/>
        <v>0</v>
      </c>
      <c r="J289" s="12">
        <f t="shared" si="25"/>
        <v>0</v>
      </c>
      <c r="K289" s="12"/>
      <c r="L289" s="63">
        <f t="shared" si="26"/>
        <v>77134.050000000047</v>
      </c>
      <c r="M289" s="25"/>
    </row>
    <row r="290" spans="2:13" x14ac:dyDescent="0.2">
      <c r="B290" s="110"/>
      <c r="C290" s="353"/>
      <c r="D290" s="65"/>
      <c r="E290" s="13"/>
      <c r="F290" s="15"/>
      <c r="G290" s="66"/>
      <c r="H290" s="112"/>
      <c r="I290" s="12">
        <f t="shared" si="24"/>
        <v>0</v>
      </c>
      <c r="J290" s="12">
        <f t="shared" si="25"/>
        <v>0</v>
      </c>
      <c r="K290" s="12"/>
      <c r="L290" s="63">
        <f t="shared" si="26"/>
        <v>77134.050000000047</v>
      </c>
      <c r="M290" s="25"/>
    </row>
    <row r="291" spans="2:13" x14ac:dyDescent="0.2">
      <c r="B291" s="110"/>
      <c r="C291" s="353"/>
      <c r="D291" s="65"/>
      <c r="E291" s="13"/>
      <c r="F291" s="15"/>
      <c r="G291" s="66"/>
      <c r="H291" s="112"/>
      <c r="I291" s="12">
        <f t="shared" si="24"/>
        <v>0</v>
      </c>
      <c r="J291" s="12">
        <f t="shared" si="25"/>
        <v>0</v>
      </c>
      <c r="K291" s="12"/>
      <c r="L291" s="63">
        <f t="shared" si="26"/>
        <v>77134.050000000047</v>
      </c>
      <c r="M291" s="25"/>
    </row>
    <row r="292" spans="2:13" x14ac:dyDescent="0.2">
      <c r="B292" s="110"/>
      <c r="C292" s="353"/>
      <c r="D292" s="65"/>
      <c r="E292" s="13"/>
      <c r="F292" s="15"/>
      <c r="G292" s="66"/>
      <c r="H292" s="112"/>
      <c r="I292" s="12">
        <f t="shared" si="24"/>
        <v>0</v>
      </c>
      <c r="J292" s="12">
        <f t="shared" si="25"/>
        <v>0</v>
      </c>
      <c r="K292" s="12"/>
      <c r="L292" s="63">
        <f t="shared" si="26"/>
        <v>77134.050000000047</v>
      </c>
      <c r="M292" s="25"/>
    </row>
    <row r="293" spans="2:13" x14ac:dyDescent="0.2">
      <c r="B293" s="110"/>
      <c r="C293" s="353"/>
      <c r="D293" s="65"/>
      <c r="E293" s="13"/>
      <c r="F293" s="15"/>
      <c r="G293" s="66"/>
      <c r="H293" s="112"/>
      <c r="I293" s="12">
        <f t="shared" si="24"/>
        <v>0</v>
      </c>
      <c r="J293" s="12">
        <f t="shared" si="25"/>
        <v>0</v>
      </c>
      <c r="K293" s="12"/>
      <c r="L293" s="63">
        <f t="shared" si="26"/>
        <v>77134.050000000047</v>
      </c>
      <c r="M293" s="25"/>
    </row>
    <row r="294" spans="2:13" x14ac:dyDescent="0.2">
      <c r="B294" s="110"/>
      <c r="C294" s="353"/>
      <c r="D294" s="65"/>
      <c r="E294" s="13"/>
      <c r="F294" s="15"/>
      <c r="G294" s="66"/>
      <c r="H294" s="112"/>
      <c r="I294" s="12">
        <f t="shared" si="24"/>
        <v>0</v>
      </c>
      <c r="J294" s="12">
        <f t="shared" si="25"/>
        <v>0</v>
      </c>
      <c r="K294" s="12"/>
      <c r="L294" s="63">
        <f t="shared" si="26"/>
        <v>77134.050000000047</v>
      </c>
      <c r="M294" s="25"/>
    </row>
    <row r="295" spans="2:13" x14ac:dyDescent="0.2">
      <c r="B295" s="110"/>
      <c r="C295" s="353"/>
      <c r="D295" s="65"/>
      <c r="E295" s="13"/>
      <c r="F295" s="15"/>
      <c r="G295" s="66"/>
      <c r="H295" s="112"/>
      <c r="I295" s="12">
        <f t="shared" si="24"/>
        <v>0</v>
      </c>
      <c r="J295" s="12">
        <f t="shared" si="25"/>
        <v>0</v>
      </c>
      <c r="K295" s="12"/>
      <c r="L295" s="63">
        <f t="shared" si="26"/>
        <v>77134.050000000047</v>
      </c>
      <c r="M295" s="25"/>
    </row>
    <row r="296" spans="2:13" x14ac:dyDescent="0.2">
      <c r="B296" s="110"/>
      <c r="C296" s="353"/>
      <c r="D296" s="65"/>
      <c r="E296" s="13"/>
      <c r="F296" s="15"/>
      <c r="G296" s="66"/>
      <c r="H296" s="112"/>
      <c r="I296" s="12">
        <f t="shared" ref="I296:I298" si="27">H296*0.32</f>
        <v>0</v>
      </c>
      <c r="J296" s="12">
        <f t="shared" ref="J296:J298" si="28">H296*0.68</f>
        <v>0</v>
      </c>
      <c r="K296" s="12"/>
      <c r="L296" s="63">
        <f t="shared" si="26"/>
        <v>77134.050000000047</v>
      </c>
      <c r="M296" s="25"/>
    </row>
    <row r="297" spans="2:13" x14ac:dyDescent="0.2">
      <c r="B297" s="110"/>
      <c r="C297" s="353"/>
      <c r="D297" s="65"/>
      <c r="E297" s="13"/>
      <c r="F297" s="15"/>
      <c r="G297" s="66"/>
      <c r="H297" s="112"/>
      <c r="I297" s="12">
        <f t="shared" si="27"/>
        <v>0</v>
      </c>
      <c r="J297" s="12">
        <f t="shared" si="28"/>
        <v>0</v>
      </c>
      <c r="K297" s="12"/>
      <c r="L297" s="63">
        <f t="shared" si="26"/>
        <v>77134.050000000047</v>
      </c>
      <c r="M297" s="25"/>
    </row>
    <row r="298" spans="2:13" x14ac:dyDescent="0.2">
      <c r="B298" s="110"/>
      <c r="C298" s="353"/>
      <c r="D298" s="65"/>
      <c r="E298" s="13"/>
      <c r="F298" s="15"/>
      <c r="G298" s="66"/>
      <c r="H298" s="112"/>
      <c r="I298" s="12">
        <f t="shared" si="27"/>
        <v>0</v>
      </c>
      <c r="J298" s="12">
        <f t="shared" si="28"/>
        <v>0</v>
      </c>
      <c r="K298" s="12"/>
      <c r="L298" s="63">
        <f t="shared" si="26"/>
        <v>77134.050000000047</v>
      </c>
      <c r="M298" s="25"/>
    </row>
    <row r="299" spans="2:13" x14ac:dyDescent="0.2">
      <c r="B299" s="110"/>
      <c r="C299" s="65"/>
      <c r="D299" s="65"/>
      <c r="E299" s="13"/>
      <c r="F299" s="15"/>
      <c r="G299" s="66"/>
      <c r="H299" s="112"/>
      <c r="I299" s="12"/>
      <c r="J299" s="12"/>
      <c r="K299" s="12"/>
      <c r="L299" s="63">
        <f t="shared" si="26"/>
        <v>77134.050000000047</v>
      </c>
      <c r="M299" s="25"/>
    </row>
    <row r="300" spans="2:13" x14ac:dyDescent="0.2">
      <c r="B300" s="547" t="s">
        <v>215</v>
      </c>
      <c r="C300" s="548"/>
      <c r="D300" s="548"/>
      <c r="E300" s="548"/>
      <c r="F300" s="548"/>
      <c r="G300" s="548"/>
      <c r="H300" s="548"/>
      <c r="I300" s="548"/>
      <c r="J300" s="548"/>
      <c r="K300" s="549"/>
      <c r="L300" s="63">
        <f t="shared" si="26"/>
        <v>77134.050000000047</v>
      </c>
      <c r="M300" s="25"/>
    </row>
    <row r="301" spans="2:13" x14ac:dyDescent="0.2">
      <c r="B301" s="552" t="s">
        <v>56</v>
      </c>
      <c r="C301" s="553"/>
      <c r="D301" s="554" t="s">
        <v>51</v>
      </c>
      <c r="E301" s="554"/>
      <c r="F301" s="554"/>
      <c r="G301" s="94"/>
      <c r="H301" s="95"/>
      <c r="I301" s="96"/>
      <c r="J301" s="96"/>
      <c r="K301" s="97"/>
      <c r="L301" s="63">
        <f t="shared" si="26"/>
        <v>77134.050000000047</v>
      </c>
      <c r="M301" s="25"/>
    </row>
    <row r="302" spans="2:13" x14ac:dyDescent="0.2">
      <c r="B302" s="91" t="s">
        <v>1</v>
      </c>
      <c r="C302" s="92" t="s">
        <v>57</v>
      </c>
      <c r="D302" s="92" t="s">
        <v>2</v>
      </c>
      <c r="E302" s="474" t="s">
        <v>3</v>
      </c>
      <c r="F302" s="474" t="s">
        <v>4</v>
      </c>
      <c r="G302" s="561" t="s">
        <v>58</v>
      </c>
      <c r="H302" s="562"/>
      <c r="I302" s="562"/>
      <c r="J302" s="563"/>
      <c r="K302" s="90"/>
      <c r="L302" s="63">
        <f t="shared" si="26"/>
        <v>77134.050000000047</v>
      </c>
      <c r="M302" s="25"/>
    </row>
    <row r="303" spans="2:13" ht="11.25" customHeight="1" x14ac:dyDescent="0.2">
      <c r="B303" s="64"/>
      <c r="C303" s="349"/>
      <c r="D303" s="349"/>
      <c r="E303" s="3"/>
      <c r="F303" s="16"/>
      <c r="G303" s="502"/>
      <c r="H303" s="502"/>
      <c r="I303" s="502"/>
      <c r="J303" s="502"/>
      <c r="K303" s="408"/>
      <c r="L303" s="63">
        <f t="shared" si="26"/>
        <v>77134.050000000047</v>
      </c>
      <c r="M303" s="25"/>
    </row>
    <row r="304" spans="2:13" ht="23.25" customHeight="1" x14ac:dyDescent="0.2">
      <c r="B304" s="10"/>
      <c r="C304" s="77"/>
      <c r="D304" s="77"/>
      <c r="E304" s="3"/>
      <c r="F304" s="16"/>
      <c r="G304" s="634" t="s">
        <v>883</v>
      </c>
      <c r="H304" s="636"/>
      <c r="I304" s="635"/>
      <c r="J304" s="502"/>
      <c r="K304" s="408">
        <v>950</v>
      </c>
      <c r="L304" s="63">
        <f t="shared" si="26"/>
        <v>76184.050000000047</v>
      </c>
      <c r="M304" s="25"/>
    </row>
    <row r="305" spans="2:13" ht="20.25" customHeight="1" x14ac:dyDescent="0.2">
      <c r="B305" s="64"/>
      <c r="C305" s="77"/>
      <c r="D305" s="78"/>
      <c r="E305" s="3"/>
      <c r="F305" s="16"/>
      <c r="G305" s="634" t="s">
        <v>884</v>
      </c>
      <c r="H305" s="636"/>
      <c r="I305" s="635"/>
      <c r="J305" s="502"/>
      <c r="K305" s="408">
        <v>950</v>
      </c>
      <c r="L305" s="63">
        <f t="shared" si="26"/>
        <v>75234.050000000047</v>
      </c>
      <c r="M305" s="25"/>
    </row>
    <row r="306" spans="2:13" ht="27" customHeight="1" x14ac:dyDescent="0.2">
      <c r="B306" s="64"/>
      <c r="C306" s="78"/>
      <c r="D306" s="78"/>
      <c r="E306" s="3"/>
      <c r="F306" s="16"/>
      <c r="G306" s="634" t="s">
        <v>885</v>
      </c>
      <c r="H306" s="636"/>
      <c r="I306" s="635"/>
      <c r="J306" s="502"/>
      <c r="K306" s="408">
        <v>950</v>
      </c>
      <c r="L306" s="63">
        <f t="shared" si="26"/>
        <v>74284.050000000047</v>
      </c>
      <c r="M306" s="25"/>
    </row>
    <row r="307" spans="2:13" ht="24.75" customHeight="1" x14ac:dyDescent="0.2">
      <c r="B307" s="64"/>
      <c r="C307" s="77"/>
      <c r="D307" s="78"/>
      <c r="E307" s="3"/>
      <c r="F307" s="16"/>
      <c r="G307" s="634" t="s">
        <v>886</v>
      </c>
      <c r="H307" s="636"/>
      <c r="I307" s="635"/>
      <c r="J307" s="502"/>
      <c r="K307" s="408">
        <v>950</v>
      </c>
      <c r="L307" s="63">
        <f t="shared" si="26"/>
        <v>73334.050000000047</v>
      </c>
      <c r="M307" s="25"/>
    </row>
    <row r="308" spans="2:13" ht="24.75" customHeight="1" x14ac:dyDescent="0.2">
      <c r="B308" s="64"/>
      <c r="C308" s="78"/>
      <c r="D308" s="78"/>
      <c r="E308" s="3"/>
      <c r="F308" s="16"/>
      <c r="G308" s="634" t="s">
        <v>887</v>
      </c>
      <c r="H308" s="636"/>
      <c r="I308" s="635"/>
      <c r="J308" s="502"/>
      <c r="K308" s="408">
        <v>950</v>
      </c>
      <c r="L308" s="63">
        <f t="shared" si="26"/>
        <v>72384.050000000047</v>
      </c>
      <c r="M308" s="25"/>
    </row>
    <row r="309" spans="2:13" ht="24.75" customHeight="1" x14ac:dyDescent="0.2">
      <c r="B309" s="64"/>
      <c r="C309" s="78"/>
      <c r="D309" s="78"/>
      <c r="E309" s="3"/>
      <c r="F309" s="16"/>
      <c r="G309" s="634" t="s">
        <v>888</v>
      </c>
      <c r="H309" s="636"/>
      <c r="I309" s="635"/>
      <c r="J309" s="502"/>
      <c r="K309" s="408">
        <v>950</v>
      </c>
      <c r="L309" s="63">
        <f t="shared" si="26"/>
        <v>71434.050000000047</v>
      </c>
      <c r="M309" s="25"/>
    </row>
    <row r="310" spans="2:13" ht="28.5" customHeight="1" x14ac:dyDescent="0.2">
      <c r="B310" s="64"/>
      <c r="C310" s="78"/>
      <c r="D310" s="78"/>
      <c r="E310" s="3"/>
      <c r="F310" s="16"/>
      <c r="G310" s="634" t="s">
        <v>889</v>
      </c>
      <c r="H310" s="636"/>
      <c r="I310" s="635"/>
      <c r="J310" s="502"/>
      <c r="K310" s="408">
        <v>800</v>
      </c>
      <c r="L310" s="63">
        <f t="shared" si="26"/>
        <v>70634.050000000047</v>
      </c>
      <c r="M310" s="25"/>
    </row>
    <row r="311" spans="2:13" ht="26.25" customHeight="1" x14ac:dyDescent="0.2">
      <c r="B311" s="64"/>
      <c r="C311" s="78"/>
      <c r="D311" s="78"/>
      <c r="E311" s="3"/>
      <c r="F311" s="16"/>
      <c r="G311" s="634" t="s">
        <v>890</v>
      </c>
      <c r="H311" s="636"/>
      <c r="I311" s="635"/>
      <c r="J311" s="503"/>
      <c r="K311" s="70">
        <v>1000</v>
      </c>
      <c r="L311" s="63">
        <f t="shared" si="26"/>
        <v>69634.050000000047</v>
      </c>
      <c r="M311" s="25"/>
    </row>
    <row r="312" spans="2:13" ht="11.25" customHeight="1" x14ac:dyDescent="0.2">
      <c r="B312" s="10"/>
      <c r="C312" s="359"/>
      <c r="D312" s="78"/>
      <c r="E312" s="3"/>
      <c r="F312" s="16"/>
      <c r="G312" s="637" t="s">
        <v>891</v>
      </c>
      <c r="H312" s="505" t="s">
        <v>866</v>
      </c>
      <c r="I312" s="505"/>
      <c r="J312" s="505"/>
      <c r="K312" s="499">
        <v>2000</v>
      </c>
      <c r="L312" s="63">
        <f t="shared" si="26"/>
        <v>67634.050000000047</v>
      </c>
      <c r="M312" s="25"/>
    </row>
    <row r="313" spans="2:13" ht="11.25" customHeight="1" x14ac:dyDescent="0.2">
      <c r="B313" s="64"/>
      <c r="C313" s="78"/>
      <c r="D313" s="78"/>
      <c r="E313" s="3"/>
      <c r="F313" s="16"/>
      <c r="G313" s="638"/>
      <c r="H313" s="505" t="s">
        <v>867</v>
      </c>
      <c r="I313" s="505"/>
      <c r="J313" s="505"/>
      <c r="K313" s="499">
        <v>2000</v>
      </c>
      <c r="L313" s="63">
        <f t="shared" si="26"/>
        <v>65634.050000000047</v>
      </c>
      <c r="M313" s="25"/>
    </row>
    <row r="314" spans="2:13" ht="11.25" customHeight="1" x14ac:dyDescent="0.2">
      <c r="B314" s="64"/>
      <c r="C314" s="78"/>
      <c r="D314" s="78"/>
      <c r="E314" s="3"/>
      <c r="F314" s="16"/>
      <c r="G314" s="505"/>
      <c r="H314" s="505" t="s">
        <v>579</v>
      </c>
      <c r="I314" s="505"/>
      <c r="J314" s="505"/>
      <c r="K314" s="488">
        <v>1000</v>
      </c>
      <c r="L314" s="63">
        <f t="shared" si="26"/>
        <v>64634.050000000047</v>
      </c>
      <c r="M314" s="25"/>
    </row>
    <row r="315" spans="2:13" ht="11.25" customHeight="1" x14ac:dyDescent="0.2">
      <c r="B315" s="64"/>
      <c r="C315" s="65"/>
      <c r="D315" s="65"/>
      <c r="E315" s="13"/>
      <c r="F315" s="13"/>
      <c r="G315" s="485"/>
      <c r="H315" s="508" t="s">
        <v>868</v>
      </c>
      <c r="I315" s="508"/>
      <c r="J315" s="508"/>
      <c r="K315" s="488">
        <v>1000</v>
      </c>
      <c r="L315" s="63">
        <f t="shared" si="26"/>
        <v>63634.050000000047</v>
      </c>
      <c r="M315" s="25"/>
    </row>
    <row r="316" spans="2:13" ht="11.25" customHeight="1" x14ac:dyDescent="0.2">
      <c r="B316" s="64"/>
      <c r="C316" s="65"/>
      <c r="D316" s="65"/>
      <c r="E316" s="3"/>
      <c r="F316" s="13"/>
      <c r="G316" s="485"/>
      <c r="H316" s="404" t="s">
        <v>892</v>
      </c>
      <c r="I316" s="404"/>
      <c r="J316" s="12"/>
      <c r="K316" s="12">
        <v>1000</v>
      </c>
      <c r="L316" s="63">
        <f t="shared" si="26"/>
        <v>62634.050000000047</v>
      </c>
      <c r="M316" s="25"/>
    </row>
    <row r="317" spans="2:13" ht="12.75" thickBot="1" x14ac:dyDescent="0.25">
      <c r="B317" s="64"/>
      <c r="C317" s="65"/>
      <c r="D317" s="65"/>
      <c r="E317" s="13"/>
      <c r="F317" s="13"/>
      <c r="G317" s="104"/>
      <c r="H317" s="84"/>
      <c r="I317" s="12"/>
      <c r="J317" s="12"/>
      <c r="K317" s="12"/>
      <c r="L317" s="63"/>
      <c r="M317" s="25"/>
    </row>
    <row r="318" spans="2:13" x14ac:dyDescent="0.2">
      <c r="B318" s="56"/>
      <c r="C318" s="57"/>
      <c r="D318" s="57"/>
      <c r="E318" s="5"/>
      <c r="F318" s="5"/>
      <c r="G318" s="85" t="s">
        <v>61</v>
      </c>
      <c r="H318" s="107">
        <f>SUM(H251:H295)</f>
        <v>0</v>
      </c>
      <c r="I318" s="105">
        <f>SUM(I251:I293)</f>
        <v>0</v>
      </c>
      <c r="J318" s="106">
        <f>SUM(J251:J291)</f>
        <v>0</v>
      </c>
      <c r="K318" s="106">
        <f>SUM(K303:K316)</f>
        <v>14500</v>
      </c>
      <c r="L318" s="108"/>
      <c r="M318" s="25"/>
    </row>
    <row r="319" spans="2:13" ht="12.75" thickBot="1" x14ac:dyDescent="0.25">
      <c r="B319" s="71"/>
      <c r="C319" s="72"/>
      <c r="D319" s="72"/>
      <c r="E319" s="73"/>
      <c r="F319" s="73"/>
      <c r="G319" s="86" t="s">
        <v>13</v>
      </c>
      <c r="H319" s="100"/>
      <c r="I319" s="99"/>
      <c r="J319" s="87"/>
      <c r="K319" s="87"/>
      <c r="L319" s="88">
        <f>+J318-K318+L250</f>
        <v>62634.050000000047</v>
      </c>
      <c r="M319" s="25"/>
    </row>
    <row r="320" spans="2:13" x14ac:dyDescent="0.2">
      <c r="B320" s="25"/>
      <c r="H320" s="74"/>
      <c r="I320" s="25"/>
      <c r="L320" s="25"/>
      <c r="M320" s="25"/>
    </row>
    <row r="321" spans="2:13" ht="12" customHeight="1" x14ac:dyDescent="0.2">
      <c r="B321" s="544" t="s">
        <v>48</v>
      </c>
      <c r="C321" s="545"/>
      <c r="D321" s="545"/>
      <c r="E321" s="545"/>
      <c r="F321" s="545"/>
      <c r="G321" s="545"/>
      <c r="H321" s="545"/>
      <c r="I321" s="545"/>
      <c r="J321" s="545"/>
      <c r="K321" s="545"/>
      <c r="L321" s="546"/>
      <c r="M321" s="25"/>
    </row>
    <row r="322" spans="2:13" x14ac:dyDescent="0.2">
      <c r="B322" s="547" t="s">
        <v>592</v>
      </c>
      <c r="C322" s="548"/>
      <c r="D322" s="548"/>
      <c r="E322" s="548"/>
      <c r="F322" s="548"/>
      <c r="G322" s="548"/>
      <c r="H322" s="548"/>
      <c r="I322" s="548"/>
      <c r="J322" s="548"/>
      <c r="K322" s="548"/>
      <c r="L322" s="549"/>
      <c r="M322" s="25"/>
    </row>
    <row r="323" spans="2:13" x14ac:dyDescent="0.2">
      <c r="B323" s="550" t="s">
        <v>50</v>
      </c>
      <c r="C323" s="550"/>
      <c r="D323" s="551" t="s">
        <v>51</v>
      </c>
      <c r="E323" s="551"/>
      <c r="F323" s="551"/>
      <c r="G323" s="472"/>
      <c r="H323" s="472"/>
      <c r="I323" s="472"/>
      <c r="J323" s="472"/>
      <c r="K323" s="472"/>
      <c r="L323" s="473"/>
      <c r="M323" s="25"/>
    </row>
    <row r="324" spans="2:13" ht="24" x14ac:dyDescent="0.2">
      <c r="B324" s="56" t="s">
        <v>1</v>
      </c>
      <c r="C324" s="57" t="s">
        <v>2</v>
      </c>
      <c r="D324" s="57" t="s">
        <v>2</v>
      </c>
      <c r="E324" s="5" t="s">
        <v>3</v>
      </c>
      <c r="F324" s="5" t="s">
        <v>4</v>
      </c>
      <c r="G324" s="89" t="s">
        <v>6</v>
      </c>
      <c r="H324" s="83" t="s">
        <v>7</v>
      </c>
      <c r="I324" s="83" t="s">
        <v>52</v>
      </c>
      <c r="J324" s="83" t="s">
        <v>53</v>
      </c>
      <c r="K324" s="5" t="s">
        <v>10</v>
      </c>
      <c r="L324" s="5" t="s">
        <v>11</v>
      </c>
      <c r="M324" s="25"/>
    </row>
    <row r="325" spans="2:13" x14ac:dyDescent="0.2">
      <c r="B325" s="58"/>
      <c r="C325" s="59"/>
      <c r="D325" s="59"/>
      <c r="E325" s="13"/>
      <c r="F325" s="13"/>
      <c r="G325" s="24"/>
      <c r="H325" s="60"/>
      <c r="I325" s="61"/>
      <c r="J325" s="61"/>
      <c r="K325" s="61"/>
      <c r="L325" s="60">
        <f>L319</f>
        <v>62634.050000000047</v>
      </c>
      <c r="M325" s="25"/>
    </row>
    <row r="326" spans="2:13" x14ac:dyDescent="0.2">
      <c r="B326" s="110"/>
      <c r="C326" s="353"/>
      <c r="D326" s="11"/>
      <c r="E326" s="15"/>
      <c r="F326" s="15"/>
      <c r="G326" s="15"/>
      <c r="H326" s="112"/>
      <c r="I326" s="12">
        <f>H326*0.32</f>
        <v>0</v>
      </c>
      <c r="J326" s="12">
        <f>H326*0.68</f>
        <v>0</v>
      </c>
      <c r="K326" s="12"/>
      <c r="L326" s="63">
        <f>+J326-K326+L325</f>
        <v>62634.050000000047</v>
      </c>
      <c r="M326" s="25"/>
    </row>
    <row r="327" spans="2:13" x14ac:dyDescent="0.2">
      <c r="B327" s="110"/>
      <c r="C327" s="353"/>
      <c r="D327" s="11"/>
      <c r="E327" s="15"/>
      <c r="F327" s="15"/>
      <c r="G327" s="15"/>
      <c r="H327" s="112"/>
      <c r="I327" s="12">
        <f t="shared" ref="I327:I364" si="29">H327*0.32</f>
        <v>0</v>
      </c>
      <c r="J327" s="12">
        <f t="shared" ref="J327:J364" si="30">H327*0.68</f>
        <v>0</v>
      </c>
      <c r="K327" s="12"/>
      <c r="L327" s="63">
        <f>+J327-K327+L326</f>
        <v>62634.050000000047</v>
      </c>
      <c r="M327" s="25"/>
    </row>
    <row r="328" spans="2:13" x14ac:dyDescent="0.2">
      <c r="B328" s="110"/>
      <c r="C328" s="353"/>
      <c r="D328" s="11"/>
      <c r="E328" s="15"/>
      <c r="F328" s="15"/>
      <c r="G328" s="15"/>
      <c r="H328" s="112"/>
      <c r="I328" s="12">
        <f t="shared" si="29"/>
        <v>0</v>
      </c>
      <c r="J328" s="12">
        <f t="shared" si="30"/>
        <v>0</v>
      </c>
      <c r="K328" s="12"/>
      <c r="L328" s="63">
        <f>+J328-K328+L327</f>
        <v>62634.050000000047</v>
      </c>
      <c r="M328" s="25"/>
    </row>
    <row r="329" spans="2:13" x14ac:dyDescent="0.2">
      <c r="B329" s="110"/>
      <c r="C329" s="353"/>
      <c r="D329" s="77"/>
      <c r="E329" s="15"/>
      <c r="F329" s="15"/>
      <c r="G329" s="15"/>
      <c r="H329" s="112"/>
      <c r="I329" s="12">
        <f t="shared" si="29"/>
        <v>0</v>
      </c>
      <c r="J329" s="12">
        <f t="shared" si="30"/>
        <v>0</v>
      </c>
      <c r="K329" s="12"/>
      <c r="L329" s="63">
        <f>+J329-K329+L328</f>
        <v>62634.050000000047</v>
      </c>
      <c r="M329" s="25"/>
    </row>
    <row r="330" spans="2:13" x14ac:dyDescent="0.2">
      <c r="B330" s="110"/>
      <c r="C330" s="353"/>
      <c r="D330" s="11"/>
      <c r="E330" s="15"/>
      <c r="F330" s="15"/>
      <c r="G330" s="15"/>
      <c r="H330" s="112"/>
      <c r="I330" s="12">
        <f t="shared" si="29"/>
        <v>0</v>
      </c>
      <c r="J330" s="12">
        <f t="shared" si="30"/>
        <v>0</v>
      </c>
      <c r="K330" s="12"/>
      <c r="L330" s="63">
        <f t="shared" ref="L330:L380" si="31">+J330-K330+L329</f>
        <v>62634.050000000047</v>
      </c>
      <c r="M330" s="25"/>
    </row>
    <row r="331" spans="2:13" x14ac:dyDescent="0.2">
      <c r="B331" s="110"/>
      <c r="C331" s="353"/>
      <c r="D331" s="11"/>
      <c r="E331" s="15"/>
      <c r="F331" s="15"/>
      <c r="G331" s="15"/>
      <c r="H331" s="112"/>
      <c r="I331" s="12">
        <f t="shared" si="29"/>
        <v>0</v>
      </c>
      <c r="J331" s="12">
        <f t="shared" si="30"/>
        <v>0</v>
      </c>
      <c r="K331" s="12"/>
      <c r="L331" s="63">
        <f t="shared" si="31"/>
        <v>62634.050000000047</v>
      </c>
      <c r="M331" s="25"/>
    </row>
    <row r="332" spans="2:13" x14ac:dyDescent="0.2">
      <c r="B332" s="110"/>
      <c r="C332" s="353"/>
      <c r="D332" s="11"/>
      <c r="E332" s="15"/>
      <c r="F332" s="15"/>
      <c r="G332" s="15"/>
      <c r="H332" s="112"/>
      <c r="I332" s="12">
        <f t="shared" si="29"/>
        <v>0</v>
      </c>
      <c r="J332" s="12">
        <f t="shared" si="30"/>
        <v>0</v>
      </c>
      <c r="K332" s="12"/>
      <c r="L332" s="63">
        <f t="shared" si="31"/>
        <v>62634.050000000047</v>
      </c>
      <c r="M332" s="25"/>
    </row>
    <row r="333" spans="2:13" x14ac:dyDescent="0.2">
      <c r="B333" s="427"/>
      <c r="C333" s="435"/>
      <c r="D333" s="439"/>
      <c r="E333" s="436"/>
      <c r="F333" s="436"/>
      <c r="G333" s="436"/>
      <c r="H333" s="437"/>
      <c r="I333" s="12">
        <f t="shared" si="29"/>
        <v>0</v>
      </c>
      <c r="J333" s="12">
        <f t="shared" si="30"/>
        <v>0</v>
      </c>
      <c r="K333" s="12"/>
      <c r="L333" s="63">
        <f t="shared" si="31"/>
        <v>62634.050000000047</v>
      </c>
      <c r="M333" s="25"/>
    </row>
    <row r="334" spans="2:13" x14ac:dyDescent="0.2">
      <c r="B334" s="427"/>
      <c r="C334" s="435"/>
      <c r="D334" s="439"/>
      <c r="E334" s="436"/>
      <c r="F334" s="436"/>
      <c r="G334" s="436"/>
      <c r="H334" s="437"/>
      <c r="I334" s="12">
        <f t="shared" si="29"/>
        <v>0</v>
      </c>
      <c r="J334" s="12">
        <f t="shared" si="30"/>
        <v>0</v>
      </c>
      <c r="K334" s="12"/>
      <c r="L334" s="63">
        <f t="shared" si="31"/>
        <v>62634.050000000047</v>
      </c>
      <c r="M334" s="25"/>
    </row>
    <row r="335" spans="2:13" x14ac:dyDescent="0.2">
      <c r="B335" s="427"/>
      <c r="C335" s="435"/>
      <c r="D335" s="431"/>
      <c r="E335" s="432"/>
      <c r="F335" s="436"/>
      <c r="G335" s="436"/>
      <c r="H335" s="437"/>
      <c r="I335" s="12">
        <f t="shared" si="29"/>
        <v>0</v>
      </c>
      <c r="J335" s="12">
        <f t="shared" si="30"/>
        <v>0</v>
      </c>
      <c r="K335" s="12"/>
      <c r="L335" s="63">
        <f t="shared" si="31"/>
        <v>62634.050000000047</v>
      </c>
      <c r="M335" s="25"/>
    </row>
    <row r="336" spans="2:13" x14ac:dyDescent="0.2">
      <c r="B336" s="427"/>
      <c r="C336" s="435"/>
      <c r="D336" s="431"/>
      <c r="E336" s="432"/>
      <c r="F336" s="436"/>
      <c r="G336" s="436"/>
      <c r="H336" s="437"/>
      <c r="I336" s="12">
        <f t="shared" si="29"/>
        <v>0</v>
      </c>
      <c r="J336" s="12">
        <f t="shared" si="30"/>
        <v>0</v>
      </c>
      <c r="K336" s="12"/>
      <c r="L336" s="63">
        <f t="shared" si="31"/>
        <v>62634.050000000047</v>
      </c>
      <c r="M336" s="25"/>
    </row>
    <row r="337" spans="2:13" x14ac:dyDescent="0.2">
      <c r="B337" s="427"/>
      <c r="C337" s="435"/>
      <c r="D337" s="431"/>
      <c r="E337" s="432"/>
      <c r="F337" s="436"/>
      <c r="G337" s="436"/>
      <c r="H337" s="437"/>
      <c r="I337" s="12">
        <f t="shared" si="29"/>
        <v>0</v>
      </c>
      <c r="J337" s="12">
        <f t="shared" si="30"/>
        <v>0</v>
      </c>
      <c r="K337" s="12"/>
      <c r="L337" s="63">
        <f t="shared" si="31"/>
        <v>62634.050000000047</v>
      </c>
      <c r="M337" s="25"/>
    </row>
    <row r="338" spans="2:13" x14ac:dyDescent="0.2">
      <c r="B338" s="427"/>
      <c r="C338" s="435"/>
      <c r="D338" s="431"/>
      <c r="E338" s="432"/>
      <c r="F338" s="436"/>
      <c r="G338" s="436"/>
      <c r="H338" s="437"/>
      <c r="I338" s="12">
        <f t="shared" si="29"/>
        <v>0</v>
      </c>
      <c r="J338" s="12">
        <f t="shared" si="30"/>
        <v>0</v>
      </c>
      <c r="K338" s="12"/>
      <c r="L338" s="63">
        <f t="shared" si="31"/>
        <v>62634.050000000047</v>
      </c>
      <c r="M338" s="25"/>
    </row>
    <row r="339" spans="2:13" x14ac:dyDescent="0.2">
      <c r="B339" s="427"/>
      <c r="C339" s="435"/>
      <c r="D339" s="431"/>
      <c r="E339" s="432"/>
      <c r="F339" s="436"/>
      <c r="G339" s="436"/>
      <c r="H339" s="437"/>
      <c r="I339" s="12">
        <f t="shared" si="29"/>
        <v>0</v>
      </c>
      <c r="J339" s="12">
        <f t="shared" si="30"/>
        <v>0</v>
      </c>
      <c r="K339" s="12"/>
      <c r="L339" s="63">
        <f t="shared" si="31"/>
        <v>62634.050000000047</v>
      </c>
      <c r="M339" s="25"/>
    </row>
    <row r="340" spans="2:13" x14ac:dyDescent="0.2">
      <c r="B340" s="427"/>
      <c r="C340" s="435"/>
      <c r="D340" s="431"/>
      <c r="E340" s="432"/>
      <c r="F340" s="436"/>
      <c r="G340" s="436"/>
      <c r="H340" s="437"/>
      <c r="I340" s="12">
        <f t="shared" si="29"/>
        <v>0</v>
      </c>
      <c r="J340" s="12">
        <f t="shared" si="30"/>
        <v>0</v>
      </c>
      <c r="K340" s="12"/>
      <c r="L340" s="63">
        <f t="shared" si="31"/>
        <v>62634.050000000047</v>
      </c>
      <c r="M340" s="25"/>
    </row>
    <row r="341" spans="2:13" x14ac:dyDescent="0.2">
      <c r="B341" s="427"/>
      <c r="C341" s="435"/>
      <c r="D341" s="431"/>
      <c r="E341" s="432"/>
      <c r="F341" s="436"/>
      <c r="G341" s="436"/>
      <c r="H341" s="437"/>
      <c r="I341" s="12">
        <f t="shared" si="29"/>
        <v>0</v>
      </c>
      <c r="J341" s="12">
        <f t="shared" si="30"/>
        <v>0</v>
      </c>
      <c r="K341" s="12"/>
      <c r="L341" s="63">
        <f t="shared" si="31"/>
        <v>62634.050000000047</v>
      </c>
      <c r="M341" s="25"/>
    </row>
    <row r="342" spans="2:13" x14ac:dyDescent="0.2">
      <c r="B342" s="427"/>
      <c r="C342" s="435"/>
      <c r="D342" s="431"/>
      <c r="E342" s="432"/>
      <c r="F342" s="436"/>
      <c r="G342" s="436"/>
      <c r="H342" s="437"/>
      <c r="I342" s="12">
        <f t="shared" si="29"/>
        <v>0</v>
      </c>
      <c r="J342" s="12">
        <f t="shared" si="30"/>
        <v>0</v>
      </c>
      <c r="K342" s="12"/>
      <c r="L342" s="63">
        <f t="shared" si="31"/>
        <v>62634.050000000047</v>
      </c>
      <c r="M342" s="25"/>
    </row>
    <row r="343" spans="2:13" x14ac:dyDescent="0.2">
      <c r="B343" s="110"/>
      <c r="C343" s="353"/>
      <c r="D343" s="65"/>
      <c r="E343" s="13"/>
      <c r="F343" s="15"/>
      <c r="G343" s="15"/>
      <c r="H343" s="112"/>
      <c r="I343" s="12">
        <f t="shared" si="29"/>
        <v>0</v>
      </c>
      <c r="J343" s="12">
        <f t="shared" si="30"/>
        <v>0</v>
      </c>
      <c r="K343" s="12"/>
      <c r="L343" s="63">
        <f t="shared" si="31"/>
        <v>62634.050000000047</v>
      </c>
      <c r="M343" s="25"/>
    </row>
    <row r="344" spans="2:13" x14ac:dyDescent="0.2">
      <c r="B344" s="110"/>
      <c r="C344" s="353"/>
      <c r="D344" s="65"/>
      <c r="E344" s="13"/>
      <c r="F344" s="15"/>
      <c r="G344" s="15"/>
      <c r="H344" s="112"/>
      <c r="I344" s="12">
        <f t="shared" si="29"/>
        <v>0</v>
      </c>
      <c r="J344" s="12">
        <f t="shared" si="30"/>
        <v>0</v>
      </c>
      <c r="K344" s="12"/>
      <c r="L344" s="63">
        <f t="shared" si="31"/>
        <v>62634.050000000047</v>
      </c>
      <c r="M344" s="25"/>
    </row>
    <row r="345" spans="2:13" x14ac:dyDescent="0.2">
      <c r="B345" s="110"/>
      <c r="C345" s="353"/>
      <c r="D345" s="65"/>
      <c r="E345" s="13"/>
      <c r="F345" s="15"/>
      <c r="G345" s="15"/>
      <c r="H345" s="112"/>
      <c r="I345" s="12">
        <f t="shared" si="29"/>
        <v>0</v>
      </c>
      <c r="J345" s="12">
        <f t="shared" si="30"/>
        <v>0</v>
      </c>
      <c r="K345" s="12"/>
      <c r="L345" s="63">
        <f t="shared" si="31"/>
        <v>62634.050000000047</v>
      </c>
      <c r="M345" s="25"/>
    </row>
    <row r="346" spans="2:13" x14ac:dyDescent="0.2">
      <c r="B346" s="110"/>
      <c r="C346" s="353"/>
      <c r="D346" s="65"/>
      <c r="E346" s="13"/>
      <c r="F346" s="15"/>
      <c r="G346" s="15"/>
      <c r="H346" s="112"/>
      <c r="I346" s="12">
        <f t="shared" si="29"/>
        <v>0</v>
      </c>
      <c r="J346" s="12">
        <f t="shared" si="30"/>
        <v>0</v>
      </c>
      <c r="K346" s="12"/>
      <c r="L346" s="63">
        <f t="shared" si="31"/>
        <v>62634.050000000047</v>
      </c>
      <c r="M346" s="25"/>
    </row>
    <row r="347" spans="2:13" x14ac:dyDescent="0.2">
      <c r="B347" s="110"/>
      <c r="C347" s="353"/>
      <c r="D347" s="65"/>
      <c r="E347" s="13"/>
      <c r="F347" s="15"/>
      <c r="G347" s="15"/>
      <c r="H347" s="112"/>
      <c r="I347" s="12">
        <f t="shared" si="29"/>
        <v>0</v>
      </c>
      <c r="J347" s="12">
        <f t="shared" si="30"/>
        <v>0</v>
      </c>
      <c r="K347" s="12"/>
      <c r="L347" s="63">
        <f t="shared" si="31"/>
        <v>62634.050000000047</v>
      </c>
      <c r="M347" s="25"/>
    </row>
    <row r="348" spans="2:13" x14ac:dyDescent="0.2">
      <c r="B348" s="110"/>
      <c r="C348" s="353"/>
      <c r="D348" s="65"/>
      <c r="E348" s="13"/>
      <c r="F348" s="15"/>
      <c r="G348" s="15"/>
      <c r="H348" s="112"/>
      <c r="I348" s="12">
        <f t="shared" si="29"/>
        <v>0</v>
      </c>
      <c r="J348" s="12">
        <f t="shared" si="30"/>
        <v>0</v>
      </c>
      <c r="K348" s="12"/>
      <c r="L348" s="63">
        <f t="shared" si="31"/>
        <v>62634.050000000047</v>
      </c>
      <c r="M348" s="25"/>
    </row>
    <row r="349" spans="2:13" x14ac:dyDescent="0.2">
      <c r="B349" s="110"/>
      <c r="C349" s="353"/>
      <c r="D349" s="65"/>
      <c r="E349" s="13"/>
      <c r="F349" s="15"/>
      <c r="G349" s="15"/>
      <c r="H349" s="112"/>
      <c r="I349" s="12">
        <f t="shared" si="29"/>
        <v>0</v>
      </c>
      <c r="J349" s="12">
        <f t="shared" si="30"/>
        <v>0</v>
      </c>
      <c r="K349" s="12"/>
      <c r="L349" s="63">
        <f t="shared" si="31"/>
        <v>62634.050000000047</v>
      </c>
      <c r="M349" s="25"/>
    </row>
    <row r="350" spans="2:13" x14ac:dyDescent="0.2">
      <c r="B350" s="110"/>
      <c r="C350" s="353"/>
      <c r="D350" s="65"/>
      <c r="E350" s="13"/>
      <c r="F350" s="15"/>
      <c r="G350" s="15"/>
      <c r="H350" s="112"/>
      <c r="I350" s="12">
        <f t="shared" si="29"/>
        <v>0</v>
      </c>
      <c r="J350" s="12">
        <f t="shared" si="30"/>
        <v>0</v>
      </c>
      <c r="K350" s="12"/>
      <c r="L350" s="63">
        <f t="shared" si="31"/>
        <v>62634.050000000047</v>
      </c>
      <c r="M350" s="25"/>
    </row>
    <row r="351" spans="2:13" x14ac:dyDescent="0.2">
      <c r="B351" s="110"/>
      <c r="C351" s="353"/>
      <c r="D351" s="65"/>
      <c r="E351" s="13"/>
      <c r="F351" s="15"/>
      <c r="G351" s="15"/>
      <c r="H351" s="112"/>
      <c r="I351" s="12">
        <f t="shared" si="29"/>
        <v>0</v>
      </c>
      <c r="J351" s="12">
        <f t="shared" si="30"/>
        <v>0</v>
      </c>
      <c r="K351" s="12"/>
      <c r="L351" s="63">
        <f t="shared" si="31"/>
        <v>62634.050000000047</v>
      </c>
      <c r="M351" s="25"/>
    </row>
    <row r="352" spans="2:13" x14ac:dyDescent="0.2">
      <c r="B352" s="110"/>
      <c r="C352" s="353"/>
      <c r="D352" s="65"/>
      <c r="E352" s="13"/>
      <c r="F352" s="15"/>
      <c r="G352" s="15"/>
      <c r="H352" s="112"/>
      <c r="I352" s="12">
        <f t="shared" si="29"/>
        <v>0</v>
      </c>
      <c r="J352" s="12">
        <f t="shared" si="30"/>
        <v>0</v>
      </c>
      <c r="K352" s="12"/>
      <c r="L352" s="63">
        <f t="shared" si="31"/>
        <v>62634.050000000047</v>
      </c>
      <c r="M352" s="25"/>
    </row>
    <row r="353" spans="2:13" x14ac:dyDescent="0.2">
      <c r="B353" s="110"/>
      <c r="C353" s="353"/>
      <c r="D353" s="65"/>
      <c r="E353" s="13"/>
      <c r="F353" s="15"/>
      <c r="G353" s="15"/>
      <c r="H353" s="112"/>
      <c r="I353" s="12">
        <f t="shared" si="29"/>
        <v>0</v>
      </c>
      <c r="J353" s="12">
        <f t="shared" si="30"/>
        <v>0</v>
      </c>
      <c r="K353" s="12"/>
      <c r="L353" s="63">
        <f t="shared" si="31"/>
        <v>62634.050000000047</v>
      </c>
      <c r="M353" s="25"/>
    </row>
    <row r="354" spans="2:13" x14ac:dyDescent="0.2">
      <c r="B354" s="110"/>
      <c r="C354" s="353"/>
      <c r="D354" s="65"/>
      <c r="E354" s="13"/>
      <c r="F354" s="15"/>
      <c r="G354" s="15"/>
      <c r="H354" s="112"/>
      <c r="I354" s="12">
        <f t="shared" si="29"/>
        <v>0</v>
      </c>
      <c r="J354" s="12">
        <f t="shared" si="30"/>
        <v>0</v>
      </c>
      <c r="K354" s="12"/>
      <c r="L354" s="63">
        <f t="shared" si="31"/>
        <v>62634.050000000047</v>
      </c>
      <c r="M354" s="25"/>
    </row>
    <row r="355" spans="2:13" x14ac:dyDescent="0.2">
      <c r="B355" s="110"/>
      <c r="C355" s="353"/>
      <c r="D355" s="65"/>
      <c r="E355" s="13"/>
      <c r="F355" s="15"/>
      <c r="G355" s="15"/>
      <c r="H355" s="112"/>
      <c r="I355" s="12">
        <f t="shared" si="29"/>
        <v>0</v>
      </c>
      <c r="J355" s="12">
        <f t="shared" si="30"/>
        <v>0</v>
      </c>
      <c r="K355" s="12"/>
      <c r="L355" s="63">
        <f t="shared" si="31"/>
        <v>62634.050000000047</v>
      </c>
      <c r="M355" s="25"/>
    </row>
    <row r="356" spans="2:13" x14ac:dyDescent="0.2">
      <c r="B356" s="110"/>
      <c r="C356" s="353"/>
      <c r="D356" s="65"/>
      <c r="E356" s="13"/>
      <c r="F356" s="15"/>
      <c r="G356" s="15"/>
      <c r="H356" s="112"/>
      <c r="I356" s="12">
        <f t="shared" si="29"/>
        <v>0</v>
      </c>
      <c r="J356" s="12">
        <f t="shared" si="30"/>
        <v>0</v>
      </c>
      <c r="K356" s="12"/>
      <c r="L356" s="63">
        <f t="shared" si="31"/>
        <v>62634.050000000047</v>
      </c>
      <c r="M356" s="25"/>
    </row>
    <row r="357" spans="2:13" x14ac:dyDescent="0.2">
      <c r="B357" s="110"/>
      <c r="C357" s="353"/>
      <c r="D357" s="65"/>
      <c r="E357" s="13"/>
      <c r="F357" s="15"/>
      <c r="G357" s="15"/>
      <c r="H357" s="112"/>
      <c r="I357" s="12">
        <f t="shared" si="29"/>
        <v>0</v>
      </c>
      <c r="J357" s="12">
        <f t="shared" si="30"/>
        <v>0</v>
      </c>
      <c r="K357" s="12"/>
      <c r="L357" s="63">
        <f t="shared" si="31"/>
        <v>62634.050000000047</v>
      </c>
      <c r="M357" s="25"/>
    </row>
    <row r="358" spans="2:13" x14ac:dyDescent="0.2">
      <c r="B358" s="110"/>
      <c r="C358" s="353"/>
      <c r="D358" s="65"/>
      <c r="E358" s="13"/>
      <c r="F358" s="15"/>
      <c r="G358" s="15"/>
      <c r="H358" s="112"/>
      <c r="I358" s="12">
        <f t="shared" si="29"/>
        <v>0</v>
      </c>
      <c r="J358" s="12">
        <f t="shared" si="30"/>
        <v>0</v>
      </c>
      <c r="K358" s="12"/>
      <c r="L358" s="63">
        <f t="shared" si="31"/>
        <v>62634.050000000047</v>
      </c>
      <c r="M358" s="25"/>
    </row>
    <row r="359" spans="2:13" x14ac:dyDescent="0.2">
      <c r="B359" s="110"/>
      <c r="C359" s="353"/>
      <c r="D359" s="65"/>
      <c r="E359" s="13"/>
      <c r="F359" s="15"/>
      <c r="G359" s="15"/>
      <c r="H359" s="112"/>
      <c r="I359" s="12">
        <f t="shared" si="29"/>
        <v>0</v>
      </c>
      <c r="J359" s="12">
        <f t="shared" si="30"/>
        <v>0</v>
      </c>
      <c r="K359" s="12"/>
      <c r="L359" s="63">
        <f t="shared" si="31"/>
        <v>62634.050000000047</v>
      </c>
      <c r="M359" s="25"/>
    </row>
    <row r="360" spans="2:13" x14ac:dyDescent="0.2">
      <c r="B360" s="110"/>
      <c r="C360" s="353"/>
      <c r="D360" s="65"/>
      <c r="E360" s="13"/>
      <c r="F360" s="15"/>
      <c r="G360" s="15"/>
      <c r="H360" s="112"/>
      <c r="I360" s="12">
        <f t="shared" si="29"/>
        <v>0</v>
      </c>
      <c r="J360" s="12">
        <f t="shared" si="30"/>
        <v>0</v>
      </c>
      <c r="K360" s="12"/>
      <c r="L360" s="63">
        <f t="shared" si="31"/>
        <v>62634.050000000047</v>
      </c>
      <c r="M360" s="25"/>
    </row>
    <row r="361" spans="2:13" x14ac:dyDescent="0.2">
      <c r="B361" s="110"/>
      <c r="C361" s="353"/>
      <c r="D361" s="65"/>
      <c r="E361" s="13"/>
      <c r="F361" s="15"/>
      <c r="G361" s="15"/>
      <c r="H361" s="112"/>
      <c r="I361" s="12">
        <f t="shared" si="29"/>
        <v>0</v>
      </c>
      <c r="J361" s="12">
        <f t="shared" si="30"/>
        <v>0</v>
      </c>
      <c r="K361" s="12"/>
      <c r="L361" s="63">
        <f t="shared" si="31"/>
        <v>62634.050000000047</v>
      </c>
      <c r="M361" s="25"/>
    </row>
    <row r="362" spans="2:13" x14ac:dyDescent="0.2">
      <c r="B362" s="110"/>
      <c r="C362" s="353"/>
      <c r="D362" s="65"/>
      <c r="E362" s="13"/>
      <c r="F362" s="15"/>
      <c r="G362" s="15"/>
      <c r="H362" s="112"/>
      <c r="I362" s="12">
        <f t="shared" si="29"/>
        <v>0</v>
      </c>
      <c r="J362" s="12">
        <f t="shared" si="30"/>
        <v>0</v>
      </c>
      <c r="K362" s="12"/>
      <c r="L362" s="63">
        <f t="shared" si="31"/>
        <v>62634.050000000047</v>
      </c>
      <c r="M362" s="25"/>
    </row>
    <row r="363" spans="2:13" x14ac:dyDescent="0.2">
      <c r="B363" s="110"/>
      <c r="C363" s="353"/>
      <c r="D363" s="65"/>
      <c r="E363" s="13"/>
      <c r="F363" s="15"/>
      <c r="G363" s="15"/>
      <c r="H363" s="112"/>
      <c r="I363" s="12">
        <f t="shared" si="29"/>
        <v>0</v>
      </c>
      <c r="J363" s="12">
        <f t="shared" si="30"/>
        <v>0</v>
      </c>
      <c r="K363" s="12"/>
      <c r="L363" s="63">
        <f t="shared" si="31"/>
        <v>62634.050000000047</v>
      </c>
      <c r="M363" s="25"/>
    </row>
    <row r="364" spans="2:13" x14ac:dyDescent="0.2">
      <c r="B364" s="110"/>
      <c r="C364" s="353"/>
      <c r="D364" s="65"/>
      <c r="E364" s="13"/>
      <c r="F364" s="15"/>
      <c r="G364" s="15"/>
      <c r="H364" s="112"/>
      <c r="I364" s="12">
        <f t="shared" si="29"/>
        <v>0</v>
      </c>
      <c r="J364" s="12">
        <f t="shared" si="30"/>
        <v>0</v>
      </c>
      <c r="K364" s="12"/>
      <c r="L364" s="63">
        <f t="shared" si="31"/>
        <v>62634.050000000047</v>
      </c>
      <c r="M364" s="25"/>
    </row>
    <row r="365" spans="2:13" x14ac:dyDescent="0.2">
      <c r="B365" s="110"/>
      <c r="C365" s="353"/>
      <c r="D365" s="65"/>
      <c r="E365" s="13"/>
      <c r="F365" s="15"/>
      <c r="G365" s="15"/>
      <c r="H365" s="112"/>
      <c r="I365" s="12"/>
      <c r="J365" s="12"/>
      <c r="K365" s="12"/>
      <c r="L365" s="63">
        <f t="shared" si="31"/>
        <v>62634.050000000047</v>
      </c>
      <c r="M365" s="25"/>
    </row>
    <row r="366" spans="2:13" x14ac:dyDescent="0.2">
      <c r="B366" s="110"/>
      <c r="C366" s="65"/>
      <c r="D366" s="65"/>
      <c r="E366" s="13"/>
      <c r="F366" s="15"/>
      <c r="G366" s="66"/>
      <c r="H366" s="112"/>
      <c r="I366" s="12"/>
      <c r="J366" s="12"/>
      <c r="K366" s="12"/>
      <c r="L366" s="63">
        <f t="shared" si="31"/>
        <v>62634.050000000047</v>
      </c>
      <c r="M366" s="25"/>
    </row>
    <row r="367" spans="2:13" x14ac:dyDescent="0.2">
      <c r="B367" s="547" t="s">
        <v>256</v>
      </c>
      <c r="C367" s="548"/>
      <c r="D367" s="548"/>
      <c r="E367" s="548"/>
      <c r="F367" s="548"/>
      <c r="G367" s="548"/>
      <c r="H367" s="548"/>
      <c r="I367" s="548"/>
      <c r="J367" s="548"/>
      <c r="K367" s="549"/>
      <c r="L367" s="63">
        <f t="shared" si="31"/>
        <v>62634.050000000047</v>
      </c>
      <c r="M367" s="25"/>
    </row>
    <row r="368" spans="2:13" x14ac:dyDescent="0.2">
      <c r="B368" s="552" t="s">
        <v>56</v>
      </c>
      <c r="C368" s="553"/>
      <c r="D368" s="554" t="s">
        <v>51</v>
      </c>
      <c r="E368" s="554"/>
      <c r="F368" s="554"/>
      <c r="G368" s="94"/>
      <c r="H368" s="95"/>
      <c r="I368" s="96"/>
      <c r="J368" s="96"/>
      <c r="K368" s="97"/>
      <c r="L368" s="63">
        <f t="shared" si="31"/>
        <v>62634.050000000047</v>
      </c>
      <c r="M368" s="25"/>
    </row>
    <row r="369" spans="2:13" x14ac:dyDescent="0.2">
      <c r="B369" s="91" t="s">
        <v>1</v>
      </c>
      <c r="C369" s="92" t="s">
        <v>57</v>
      </c>
      <c r="D369" s="92" t="s">
        <v>2</v>
      </c>
      <c r="E369" s="474" t="s">
        <v>3</v>
      </c>
      <c r="F369" s="474" t="s">
        <v>4</v>
      </c>
      <c r="G369" s="561" t="s">
        <v>58</v>
      </c>
      <c r="H369" s="562"/>
      <c r="I369" s="562"/>
      <c r="J369" s="563"/>
      <c r="K369" s="90"/>
      <c r="L369" s="63">
        <f t="shared" si="31"/>
        <v>62634.050000000047</v>
      </c>
      <c r="M369" s="25"/>
    </row>
    <row r="370" spans="2:13" ht="10.5" customHeight="1" x14ac:dyDescent="0.2">
      <c r="B370" s="64"/>
      <c r="C370" s="349"/>
      <c r="D370" s="349"/>
      <c r="E370" s="3"/>
      <c r="F370" s="16"/>
      <c r="G370" s="481"/>
      <c r="H370" s="481"/>
      <c r="I370" s="481"/>
      <c r="J370" s="349"/>
      <c r="K370" s="70"/>
      <c r="L370" s="63">
        <f t="shared" si="31"/>
        <v>62634.050000000047</v>
      </c>
      <c r="M370" s="25"/>
    </row>
    <row r="371" spans="2:13" ht="27.75" customHeight="1" x14ac:dyDescent="0.2">
      <c r="B371" s="10"/>
      <c r="C371" s="77"/>
      <c r="D371" s="77"/>
      <c r="E371" s="3"/>
      <c r="F371" s="16"/>
      <c r="G371" s="634" t="s">
        <v>893</v>
      </c>
      <c r="H371" s="636"/>
      <c r="I371" s="635"/>
      <c r="J371" s="349"/>
      <c r="K371" s="70">
        <v>600</v>
      </c>
      <c r="L371" s="63">
        <f t="shared" si="31"/>
        <v>62034.050000000047</v>
      </c>
      <c r="M371" s="25"/>
    </row>
    <row r="372" spans="2:13" ht="10.5" customHeight="1" x14ac:dyDescent="0.2">
      <c r="B372" s="64"/>
      <c r="C372" s="77"/>
      <c r="D372" s="78"/>
      <c r="E372" s="3"/>
      <c r="F372" s="16"/>
      <c r="G372" s="634" t="s">
        <v>894</v>
      </c>
      <c r="H372" s="636"/>
      <c r="I372" s="635"/>
      <c r="J372" s="12"/>
      <c r="K372" s="12">
        <v>600</v>
      </c>
      <c r="L372" s="63">
        <f t="shared" si="31"/>
        <v>61434.050000000047</v>
      </c>
      <c r="M372" s="25"/>
    </row>
    <row r="373" spans="2:13" ht="24.75" customHeight="1" x14ac:dyDescent="0.2">
      <c r="B373" s="64"/>
      <c r="C373" s="78"/>
      <c r="D373" s="78"/>
      <c r="E373" s="3"/>
      <c r="F373" s="16"/>
      <c r="G373" s="634" t="s">
        <v>895</v>
      </c>
      <c r="H373" s="636"/>
      <c r="I373" s="635"/>
      <c r="J373" s="12"/>
      <c r="K373" s="12">
        <v>950</v>
      </c>
      <c r="L373" s="63">
        <f t="shared" si="31"/>
        <v>60484.050000000047</v>
      </c>
      <c r="M373" s="25"/>
    </row>
    <row r="374" spans="2:13" ht="10.5" customHeight="1" x14ac:dyDescent="0.2">
      <c r="B374" s="64"/>
      <c r="C374" s="77"/>
      <c r="D374" s="78"/>
      <c r="E374" s="3"/>
      <c r="F374" s="16"/>
      <c r="G374" s="634"/>
      <c r="H374" s="636"/>
      <c r="I374" s="635"/>
      <c r="J374" s="12"/>
      <c r="K374" s="12"/>
      <c r="L374" s="63">
        <f t="shared" si="31"/>
        <v>60484.050000000047</v>
      </c>
      <c r="M374" s="25"/>
    </row>
    <row r="375" spans="2:13" ht="10.5" customHeight="1" x14ac:dyDescent="0.2">
      <c r="B375" s="64"/>
      <c r="C375" s="77"/>
      <c r="D375" s="78"/>
      <c r="E375" s="3"/>
      <c r="F375" s="16"/>
      <c r="G375" s="634"/>
      <c r="H375" s="636"/>
      <c r="I375" s="635"/>
      <c r="J375" s="12"/>
      <c r="K375" s="12"/>
      <c r="L375" s="63">
        <f t="shared" si="31"/>
        <v>60484.050000000047</v>
      </c>
      <c r="M375" s="25"/>
    </row>
    <row r="376" spans="2:13" ht="10.5" customHeight="1" x14ac:dyDescent="0.2">
      <c r="B376" s="64"/>
      <c r="C376" s="78"/>
      <c r="D376" s="78"/>
      <c r="E376" s="3"/>
      <c r="F376" s="16"/>
      <c r="G376" s="634"/>
      <c r="H376" s="636"/>
      <c r="I376" s="635"/>
      <c r="J376" s="12"/>
      <c r="K376" s="12"/>
      <c r="L376" s="63">
        <f t="shared" si="31"/>
        <v>60484.050000000047</v>
      </c>
      <c r="M376" s="25"/>
    </row>
    <row r="377" spans="2:13" ht="10.5" customHeight="1" x14ac:dyDescent="0.2">
      <c r="B377" s="64"/>
      <c r="C377" s="78"/>
      <c r="D377" s="78"/>
      <c r="E377" s="3"/>
      <c r="F377" s="16"/>
      <c r="G377" s="634"/>
      <c r="H377" s="636"/>
      <c r="I377" s="635"/>
      <c r="J377" s="12"/>
      <c r="K377" s="12"/>
      <c r="L377" s="63">
        <f t="shared" si="31"/>
        <v>60484.050000000047</v>
      </c>
      <c r="M377" s="25"/>
    </row>
    <row r="378" spans="2:13" x14ac:dyDescent="0.2">
      <c r="B378" s="64"/>
      <c r="C378" s="78"/>
      <c r="D378" s="78"/>
      <c r="E378" s="3"/>
      <c r="F378" s="16"/>
      <c r="G378" s="634"/>
      <c r="H378" s="636"/>
      <c r="I378" s="635"/>
      <c r="J378" s="12"/>
      <c r="K378" s="12"/>
      <c r="L378" s="63">
        <f t="shared" si="31"/>
        <v>60484.050000000047</v>
      </c>
      <c r="M378" s="25"/>
    </row>
    <row r="379" spans="2:13" x14ac:dyDescent="0.2">
      <c r="B379" s="64"/>
      <c r="C379" s="78"/>
      <c r="D379" s="78"/>
      <c r="E379" s="3"/>
      <c r="F379" s="16"/>
      <c r="G379" s="81"/>
      <c r="H379" s="62"/>
      <c r="I379" s="12"/>
      <c r="J379" s="12"/>
      <c r="K379" s="12"/>
      <c r="L379" s="63">
        <f t="shared" si="31"/>
        <v>60484.050000000047</v>
      </c>
      <c r="M379" s="25"/>
    </row>
    <row r="380" spans="2:13" x14ac:dyDescent="0.2">
      <c r="B380" s="64"/>
      <c r="C380" s="78"/>
      <c r="D380" s="78"/>
      <c r="E380" s="3"/>
      <c r="F380" s="16"/>
      <c r="G380" s="81"/>
      <c r="H380" s="62"/>
      <c r="I380" s="12"/>
      <c r="J380" s="12"/>
      <c r="K380" s="12"/>
      <c r="L380" s="63">
        <f t="shared" si="31"/>
        <v>60484.050000000047</v>
      </c>
      <c r="M380" s="25"/>
    </row>
    <row r="381" spans="2:13" ht="12.75" thickBot="1" x14ac:dyDescent="0.25">
      <c r="B381" s="64"/>
      <c r="C381" s="65"/>
      <c r="D381" s="65"/>
      <c r="E381" s="13"/>
      <c r="F381" s="13"/>
      <c r="G381" s="104"/>
      <c r="H381" s="84"/>
      <c r="I381" s="12"/>
      <c r="J381" s="12"/>
      <c r="K381" s="12"/>
      <c r="L381" s="63"/>
      <c r="M381" s="25"/>
    </row>
    <row r="382" spans="2:13" x14ac:dyDescent="0.2">
      <c r="B382" s="56"/>
      <c r="C382" s="57"/>
      <c r="D382" s="57"/>
      <c r="E382" s="5"/>
      <c r="F382" s="5"/>
      <c r="G382" s="85" t="s">
        <v>66</v>
      </c>
      <c r="H382" s="107">
        <f>SUM(H326:H364)</f>
        <v>0</v>
      </c>
      <c r="I382" s="105">
        <f>SUM(I326:I364)</f>
        <v>0</v>
      </c>
      <c r="J382" s="106">
        <f>SUM(J326:J364)</f>
        <v>0</v>
      </c>
      <c r="K382" s="106">
        <f>SUM(K370:K380)</f>
        <v>2150</v>
      </c>
      <c r="L382" s="108"/>
      <c r="M382" s="25"/>
    </row>
    <row r="383" spans="2:13" ht="12.75" thickBot="1" x14ac:dyDescent="0.25">
      <c r="B383" s="71"/>
      <c r="C383" s="72"/>
      <c r="D383" s="72"/>
      <c r="E383" s="73"/>
      <c r="F383" s="73"/>
      <c r="G383" s="86" t="s">
        <v>13</v>
      </c>
      <c r="H383" s="100"/>
      <c r="I383" s="99"/>
      <c r="J383" s="87"/>
      <c r="K383" s="87"/>
      <c r="L383" s="88">
        <f>+J382-K382+L325</f>
        <v>60484.050000000047</v>
      </c>
      <c r="M383" s="25"/>
    </row>
    <row r="384" spans="2:13" x14ac:dyDescent="0.2">
      <c r="B384" s="25"/>
      <c r="H384" s="74"/>
      <c r="I384" s="25"/>
      <c r="L384" s="25"/>
      <c r="M384" s="25"/>
    </row>
    <row r="385" spans="2:13" ht="12" customHeight="1" x14ac:dyDescent="0.2">
      <c r="B385" s="544" t="s">
        <v>48</v>
      </c>
      <c r="C385" s="545"/>
      <c r="D385" s="545"/>
      <c r="E385" s="545"/>
      <c r="F385" s="545"/>
      <c r="G385" s="545"/>
      <c r="H385" s="545"/>
      <c r="I385" s="545"/>
      <c r="J385" s="545"/>
      <c r="K385" s="545"/>
      <c r="L385" s="546"/>
      <c r="M385" s="25"/>
    </row>
    <row r="386" spans="2:13" x14ac:dyDescent="0.2">
      <c r="B386" s="547" t="s">
        <v>613</v>
      </c>
      <c r="C386" s="548"/>
      <c r="D386" s="548"/>
      <c r="E386" s="548"/>
      <c r="F386" s="548"/>
      <c r="G386" s="548"/>
      <c r="H386" s="548"/>
      <c r="I386" s="548"/>
      <c r="J386" s="548"/>
      <c r="K386" s="548"/>
      <c r="L386" s="549"/>
      <c r="M386" s="25"/>
    </row>
    <row r="387" spans="2:13" x14ac:dyDescent="0.2">
      <c r="B387" s="550" t="s">
        <v>50</v>
      </c>
      <c r="C387" s="550"/>
      <c r="D387" s="551" t="s">
        <v>51</v>
      </c>
      <c r="E387" s="551"/>
      <c r="F387" s="551"/>
      <c r="G387" s="472"/>
      <c r="H387" s="472"/>
      <c r="I387" s="472"/>
      <c r="J387" s="472"/>
      <c r="K387" s="472"/>
      <c r="L387" s="473"/>
      <c r="M387" s="25"/>
    </row>
    <row r="388" spans="2:13" ht="24" x14ac:dyDescent="0.2">
      <c r="B388" s="56" t="s">
        <v>1</v>
      </c>
      <c r="C388" s="57" t="s">
        <v>2</v>
      </c>
      <c r="D388" s="57" t="s">
        <v>2</v>
      </c>
      <c r="E388" s="5" t="s">
        <v>3</v>
      </c>
      <c r="F388" s="5" t="s">
        <v>4</v>
      </c>
      <c r="G388" s="89" t="s">
        <v>6</v>
      </c>
      <c r="H388" s="83" t="s">
        <v>7</v>
      </c>
      <c r="I388" s="83" t="s">
        <v>52</v>
      </c>
      <c r="J388" s="83" t="s">
        <v>53</v>
      </c>
      <c r="K388" s="5" t="s">
        <v>10</v>
      </c>
      <c r="L388" s="5" t="s">
        <v>11</v>
      </c>
      <c r="M388" s="25"/>
    </row>
    <row r="389" spans="2:13" x14ac:dyDescent="0.2">
      <c r="B389" s="58"/>
      <c r="C389" s="59"/>
      <c r="D389" s="59"/>
      <c r="E389" s="13"/>
      <c r="F389" s="13"/>
      <c r="G389" s="24"/>
      <c r="H389" s="60"/>
      <c r="I389" s="61"/>
      <c r="J389" s="61"/>
      <c r="K389" s="61"/>
      <c r="L389" s="60">
        <f>L383</f>
        <v>60484.050000000047</v>
      </c>
      <c r="M389" s="25"/>
    </row>
    <row r="390" spans="2:13" x14ac:dyDescent="0.2">
      <c r="B390" s="110"/>
      <c r="C390" s="353"/>
      <c r="D390" s="11"/>
      <c r="E390" s="15"/>
      <c r="F390" s="15"/>
      <c r="G390" s="15"/>
      <c r="H390" s="112"/>
      <c r="I390" s="12">
        <f>H390*0.32</f>
        <v>0</v>
      </c>
      <c r="J390" s="12">
        <f>H390*0.68</f>
        <v>0</v>
      </c>
      <c r="K390" s="12"/>
      <c r="L390" s="63">
        <f>+J390-K390+L389</f>
        <v>60484.050000000047</v>
      </c>
      <c r="M390" s="25"/>
    </row>
    <row r="391" spans="2:13" x14ac:dyDescent="0.2">
      <c r="B391" s="110"/>
      <c r="C391" s="353"/>
      <c r="D391" s="11"/>
      <c r="E391" s="15"/>
      <c r="F391" s="15"/>
      <c r="G391" s="15"/>
      <c r="H391" s="112"/>
      <c r="I391" s="12">
        <f t="shared" ref="I391:I439" si="32">H391*0.32</f>
        <v>0</v>
      </c>
      <c r="J391" s="12">
        <f t="shared" ref="J391:J439" si="33">H391*0.68</f>
        <v>0</v>
      </c>
      <c r="K391" s="12"/>
      <c r="L391" s="63">
        <f>+J391-K391+L390</f>
        <v>60484.050000000047</v>
      </c>
      <c r="M391" s="25"/>
    </row>
    <row r="392" spans="2:13" x14ac:dyDescent="0.2">
      <c r="B392" s="110"/>
      <c r="C392" s="353"/>
      <c r="D392" s="11"/>
      <c r="E392" s="15"/>
      <c r="F392" s="15"/>
      <c r="G392" s="15"/>
      <c r="H392" s="112"/>
      <c r="I392" s="12">
        <f t="shared" si="32"/>
        <v>0</v>
      </c>
      <c r="J392" s="12">
        <f t="shared" si="33"/>
        <v>0</v>
      </c>
      <c r="K392" s="12"/>
      <c r="L392" s="63">
        <f>+J392-K392+L391</f>
        <v>60484.050000000047</v>
      </c>
      <c r="M392" s="25"/>
    </row>
    <row r="393" spans="2:13" x14ac:dyDescent="0.2">
      <c r="B393" s="110"/>
      <c r="C393" s="353"/>
      <c r="D393" s="77"/>
      <c r="E393" s="15"/>
      <c r="F393" s="15"/>
      <c r="G393" s="15"/>
      <c r="H393" s="112"/>
      <c r="I393" s="12">
        <f t="shared" si="32"/>
        <v>0</v>
      </c>
      <c r="J393" s="12">
        <f t="shared" si="33"/>
        <v>0</v>
      </c>
      <c r="K393" s="12"/>
      <c r="L393" s="63">
        <f>+J393-K393+L392</f>
        <v>60484.050000000047</v>
      </c>
      <c r="M393" s="25"/>
    </row>
    <row r="394" spans="2:13" x14ac:dyDescent="0.2">
      <c r="B394" s="110"/>
      <c r="C394" s="353"/>
      <c r="D394" s="11"/>
      <c r="E394" s="15"/>
      <c r="F394" s="15"/>
      <c r="G394" s="15"/>
      <c r="H394" s="112"/>
      <c r="I394" s="12">
        <f t="shared" si="32"/>
        <v>0</v>
      </c>
      <c r="J394" s="12">
        <f t="shared" si="33"/>
        <v>0</v>
      </c>
      <c r="K394" s="12"/>
      <c r="L394" s="63">
        <f t="shared" ref="L394:L457" si="34">+J394-K394+L393</f>
        <v>60484.050000000047</v>
      </c>
      <c r="M394" s="25"/>
    </row>
    <row r="395" spans="2:13" x14ac:dyDescent="0.2">
      <c r="B395" s="110"/>
      <c r="C395" s="353"/>
      <c r="D395" s="11"/>
      <c r="E395" s="15"/>
      <c r="F395" s="15"/>
      <c r="G395" s="15"/>
      <c r="H395" s="112"/>
      <c r="I395" s="12">
        <f t="shared" si="32"/>
        <v>0</v>
      </c>
      <c r="J395" s="12">
        <f t="shared" si="33"/>
        <v>0</v>
      </c>
      <c r="K395" s="12"/>
      <c r="L395" s="63">
        <f t="shared" si="34"/>
        <v>60484.050000000047</v>
      </c>
      <c r="M395" s="25"/>
    </row>
    <row r="396" spans="2:13" x14ac:dyDescent="0.2">
      <c r="B396" s="110"/>
      <c r="C396" s="353"/>
      <c r="D396" s="11"/>
      <c r="E396" s="15"/>
      <c r="F396" s="15"/>
      <c r="G396" s="15"/>
      <c r="H396" s="112"/>
      <c r="I396" s="12">
        <f t="shared" si="32"/>
        <v>0</v>
      </c>
      <c r="J396" s="12">
        <f t="shared" si="33"/>
        <v>0</v>
      </c>
      <c r="K396" s="12"/>
      <c r="L396" s="63">
        <f t="shared" si="34"/>
        <v>60484.050000000047</v>
      </c>
      <c r="M396" s="25"/>
    </row>
    <row r="397" spans="2:13" x14ac:dyDescent="0.2">
      <c r="B397" s="110"/>
      <c r="C397" s="353"/>
      <c r="D397" s="11"/>
      <c r="E397" s="15"/>
      <c r="F397" s="15"/>
      <c r="G397" s="15"/>
      <c r="H397" s="112"/>
      <c r="I397" s="12">
        <f t="shared" si="32"/>
        <v>0</v>
      </c>
      <c r="J397" s="12">
        <f t="shared" si="33"/>
        <v>0</v>
      </c>
      <c r="K397" s="12"/>
      <c r="L397" s="63">
        <f t="shared" si="34"/>
        <v>60484.050000000047</v>
      </c>
      <c r="M397" s="25"/>
    </row>
    <row r="398" spans="2:13" x14ac:dyDescent="0.2">
      <c r="B398" s="110"/>
      <c r="C398" s="353"/>
      <c r="D398" s="11"/>
      <c r="E398" s="15"/>
      <c r="F398" s="15"/>
      <c r="G398" s="15"/>
      <c r="H398" s="112"/>
      <c r="I398" s="12">
        <f t="shared" si="32"/>
        <v>0</v>
      </c>
      <c r="J398" s="12">
        <f t="shared" si="33"/>
        <v>0</v>
      </c>
      <c r="K398" s="12"/>
      <c r="L398" s="63">
        <f t="shared" si="34"/>
        <v>60484.050000000047</v>
      </c>
      <c r="M398" s="25"/>
    </row>
    <row r="399" spans="2:13" x14ac:dyDescent="0.2">
      <c r="B399" s="110"/>
      <c r="C399" s="353"/>
      <c r="D399" s="65"/>
      <c r="E399" s="13"/>
      <c r="F399" s="15"/>
      <c r="G399" s="15"/>
      <c r="H399" s="112"/>
      <c r="I399" s="12">
        <f t="shared" si="32"/>
        <v>0</v>
      </c>
      <c r="J399" s="12">
        <f t="shared" si="33"/>
        <v>0</v>
      </c>
      <c r="K399" s="12"/>
      <c r="L399" s="63">
        <f t="shared" si="34"/>
        <v>60484.050000000047</v>
      </c>
      <c r="M399" s="25"/>
    </row>
    <row r="400" spans="2:13" x14ac:dyDescent="0.2">
      <c r="B400" s="110"/>
      <c r="C400" s="353"/>
      <c r="D400" s="65"/>
      <c r="E400" s="13"/>
      <c r="F400" s="15"/>
      <c r="G400" s="15"/>
      <c r="H400" s="112"/>
      <c r="I400" s="12">
        <f t="shared" si="32"/>
        <v>0</v>
      </c>
      <c r="J400" s="12">
        <f t="shared" si="33"/>
        <v>0</v>
      </c>
      <c r="K400" s="12"/>
      <c r="L400" s="63">
        <f t="shared" si="34"/>
        <v>60484.050000000047</v>
      </c>
      <c r="M400" s="25"/>
    </row>
    <row r="401" spans="2:13" x14ac:dyDescent="0.2">
      <c r="B401" s="110"/>
      <c r="C401" s="353"/>
      <c r="D401" s="65"/>
      <c r="E401" s="13"/>
      <c r="F401" s="15"/>
      <c r="G401" s="15"/>
      <c r="H401" s="112"/>
      <c r="I401" s="12">
        <f t="shared" si="32"/>
        <v>0</v>
      </c>
      <c r="J401" s="12">
        <f t="shared" si="33"/>
        <v>0</v>
      </c>
      <c r="K401" s="12"/>
      <c r="L401" s="63">
        <f t="shared" si="34"/>
        <v>60484.050000000047</v>
      </c>
      <c r="M401" s="25"/>
    </row>
    <row r="402" spans="2:13" x14ac:dyDescent="0.2">
      <c r="B402" s="110"/>
      <c r="C402" s="353"/>
      <c r="D402" s="65"/>
      <c r="E402" s="13"/>
      <c r="F402" s="15"/>
      <c r="G402" s="15"/>
      <c r="H402" s="112"/>
      <c r="I402" s="12">
        <f t="shared" si="32"/>
        <v>0</v>
      </c>
      <c r="J402" s="12">
        <f t="shared" si="33"/>
        <v>0</v>
      </c>
      <c r="K402" s="12"/>
      <c r="L402" s="63">
        <f t="shared" si="34"/>
        <v>60484.050000000047</v>
      </c>
      <c r="M402" s="25"/>
    </row>
    <row r="403" spans="2:13" x14ac:dyDescent="0.2">
      <c r="B403" s="110"/>
      <c r="C403" s="353"/>
      <c r="D403" s="65"/>
      <c r="E403" s="13"/>
      <c r="F403" s="15"/>
      <c r="G403" s="15"/>
      <c r="H403" s="112"/>
      <c r="I403" s="12">
        <f t="shared" si="32"/>
        <v>0</v>
      </c>
      <c r="J403" s="12">
        <f t="shared" si="33"/>
        <v>0</v>
      </c>
      <c r="K403" s="12"/>
      <c r="L403" s="63">
        <f t="shared" si="34"/>
        <v>60484.050000000047</v>
      </c>
      <c r="M403" s="25"/>
    </row>
    <row r="404" spans="2:13" x14ac:dyDescent="0.2">
      <c r="B404" s="110"/>
      <c r="C404" s="353"/>
      <c r="D404" s="65"/>
      <c r="E404" s="13"/>
      <c r="F404" s="15"/>
      <c r="G404" s="15"/>
      <c r="H404" s="112"/>
      <c r="I404" s="12">
        <f t="shared" si="32"/>
        <v>0</v>
      </c>
      <c r="J404" s="12">
        <f t="shared" si="33"/>
        <v>0</v>
      </c>
      <c r="K404" s="12"/>
      <c r="L404" s="63">
        <f t="shared" si="34"/>
        <v>60484.050000000047</v>
      </c>
      <c r="M404" s="25"/>
    </row>
    <row r="405" spans="2:13" x14ac:dyDescent="0.2">
      <c r="B405" s="427"/>
      <c r="C405" s="438"/>
      <c r="D405" s="431"/>
      <c r="E405" s="432"/>
      <c r="F405" s="436"/>
      <c r="G405" s="436"/>
      <c r="H405" s="437"/>
      <c r="I405" s="12">
        <f t="shared" si="32"/>
        <v>0</v>
      </c>
      <c r="J405" s="12">
        <f t="shared" si="33"/>
        <v>0</v>
      </c>
      <c r="K405" s="12"/>
      <c r="L405" s="63">
        <f t="shared" si="34"/>
        <v>60484.050000000047</v>
      </c>
      <c r="M405" s="25"/>
    </row>
    <row r="406" spans="2:13" x14ac:dyDescent="0.2">
      <c r="B406" s="427"/>
      <c r="C406" s="438"/>
      <c r="D406" s="431"/>
      <c r="E406" s="432"/>
      <c r="F406" s="436"/>
      <c r="G406" s="436"/>
      <c r="H406" s="437"/>
      <c r="I406" s="12">
        <f t="shared" si="32"/>
        <v>0</v>
      </c>
      <c r="J406" s="12">
        <f t="shared" si="33"/>
        <v>0</v>
      </c>
      <c r="K406" s="12"/>
      <c r="L406" s="63">
        <f t="shared" si="34"/>
        <v>60484.050000000047</v>
      </c>
      <c r="M406" s="25"/>
    </row>
    <row r="407" spans="2:13" x14ac:dyDescent="0.2">
      <c r="B407" s="427"/>
      <c r="C407" s="438"/>
      <c r="D407" s="431"/>
      <c r="E407" s="432"/>
      <c r="F407" s="436"/>
      <c r="G407" s="436"/>
      <c r="H407" s="437"/>
      <c r="I407" s="12">
        <f t="shared" si="32"/>
        <v>0</v>
      </c>
      <c r="J407" s="12">
        <f t="shared" si="33"/>
        <v>0</v>
      </c>
      <c r="K407" s="12"/>
      <c r="L407" s="63">
        <f t="shared" si="34"/>
        <v>60484.050000000047</v>
      </c>
      <c r="M407" s="25"/>
    </row>
    <row r="408" spans="2:13" x14ac:dyDescent="0.2">
      <c r="B408" s="427"/>
      <c r="C408" s="438"/>
      <c r="D408" s="431"/>
      <c r="E408" s="432"/>
      <c r="F408" s="436"/>
      <c r="G408" s="436"/>
      <c r="H408" s="437"/>
      <c r="I408" s="12">
        <f t="shared" si="32"/>
        <v>0</v>
      </c>
      <c r="J408" s="12">
        <f t="shared" si="33"/>
        <v>0</v>
      </c>
      <c r="K408" s="12"/>
      <c r="L408" s="63">
        <f t="shared" si="34"/>
        <v>60484.050000000047</v>
      </c>
      <c r="M408" s="25"/>
    </row>
    <row r="409" spans="2:13" x14ac:dyDescent="0.2">
      <c r="B409" s="427"/>
      <c r="C409" s="438"/>
      <c r="D409" s="431"/>
      <c r="E409" s="432"/>
      <c r="F409" s="436"/>
      <c r="G409" s="436"/>
      <c r="H409" s="437"/>
      <c r="I409" s="12">
        <f t="shared" si="32"/>
        <v>0</v>
      </c>
      <c r="J409" s="12">
        <f t="shared" si="33"/>
        <v>0</v>
      </c>
      <c r="K409" s="12"/>
      <c r="L409" s="63">
        <f t="shared" si="34"/>
        <v>60484.050000000047</v>
      </c>
      <c r="M409" s="25"/>
    </row>
    <row r="410" spans="2:13" x14ac:dyDescent="0.2">
      <c r="B410" s="427"/>
      <c r="C410" s="438"/>
      <c r="D410" s="431"/>
      <c r="E410" s="432"/>
      <c r="F410" s="436"/>
      <c r="G410" s="436"/>
      <c r="H410" s="437"/>
      <c r="I410" s="12">
        <f t="shared" si="32"/>
        <v>0</v>
      </c>
      <c r="J410" s="12">
        <f t="shared" si="33"/>
        <v>0</v>
      </c>
      <c r="K410" s="12"/>
      <c r="L410" s="63">
        <f t="shared" si="34"/>
        <v>60484.050000000047</v>
      </c>
      <c r="M410" s="25"/>
    </row>
    <row r="411" spans="2:13" x14ac:dyDescent="0.2">
      <c r="B411" s="427"/>
      <c r="C411" s="438"/>
      <c r="D411" s="431"/>
      <c r="E411" s="432"/>
      <c r="F411" s="436"/>
      <c r="G411" s="436"/>
      <c r="H411" s="437"/>
      <c r="I411" s="12">
        <f t="shared" si="32"/>
        <v>0</v>
      </c>
      <c r="J411" s="12">
        <f t="shared" si="33"/>
        <v>0</v>
      </c>
      <c r="K411" s="12"/>
      <c r="L411" s="63">
        <f t="shared" si="34"/>
        <v>60484.050000000047</v>
      </c>
      <c r="M411" s="25"/>
    </row>
    <row r="412" spans="2:13" x14ac:dyDescent="0.2">
      <c r="B412" s="427"/>
      <c r="C412" s="438"/>
      <c r="D412" s="431"/>
      <c r="E412" s="432"/>
      <c r="F412" s="436"/>
      <c r="G412" s="436"/>
      <c r="H412" s="437"/>
      <c r="I412" s="12">
        <f t="shared" si="32"/>
        <v>0</v>
      </c>
      <c r="J412" s="12">
        <f t="shared" si="33"/>
        <v>0</v>
      </c>
      <c r="K412" s="12"/>
      <c r="L412" s="63">
        <f t="shared" si="34"/>
        <v>60484.050000000047</v>
      </c>
      <c r="M412" s="25"/>
    </row>
    <row r="413" spans="2:13" x14ac:dyDescent="0.2">
      <c r="B413" s="427"/>
      <c r="C413" s="438"/>
      <c r="D413" s="431"/>
      <c r="E413" s="432"/>
      <c r="F413" s="436"/>
      <c r="G413" s="436"/>
      <c r="H413" s="437"/>
      <c r="I413" s="12">
        <f t="shared" si="32"/>
        <v>0</v>
      </c>
      <c r="J413" s="12">
        <f t="shared" si="33"/>
        <v>0</v>
      </c>
      <c r="K413" s="12"/>
      <c r="L413" s="63">
        <f t="shared" si="34"/>
        <v>60484.050000000047</v>
      </c>
      <c r="M413" s="25"/>
    </row>
    <row r="414" spans="2:13" x14ac:dyDescent="0.2">
      <c r="B414" s="427"/>
      <c r="C414" s="438"/>
      <c r="D414" s="431"/>
      <c r="E414" s="432"/>
      <c r="F414" s="436"/>
      <c r="G414" s="436"/>
      <c r="H414" s="437"/>
      <c r="I414" s="12">
        <f t="shared" si="32"/>
        <v>0</v>
      </c>
      <c r="J414" s="12">
        <f t="shared" si="33"/>
        <v>0</v>
      </c>
      <c r="K414" s="12"/>
      <c r="L414" s="63">
        <f t="shared" si="34"/>
        <v>60484.050000000047</v>
      </c>
      <c r="M414" s="25"/>
    </row>
    <row r="415" spans="2:13" x14ac:dyDescent="0.2">
      <c r="B415" s="427"/>
      <c r="C415" s="438"/>
      <c r="D415" s="431"/>
      <c r="E415" s="432"/>
      <c r="F415" s="436"/>
      <c r="G415" s="436"/>
      <c r="H415" s="437"/>
      <c r="I415" s="12">
        <f t="shared" si="32"/>
        <v>0</v>
      </c>
      <c r="J415" s="12">
        <f t="shared" si="33"/>
        <v>0</v>
      </c>
      <c r="K415" s="12"/>
      <c r="L415" s="63">
        <f t="shared" si="34"/>
        <v>60484.050000000047</v>
      </c>
      <c r="M415" s="25"/>
    </row>
    <row r="416" spans="2:13" x14ac:dyDescent="0.2">
      <c r="B416" s="427"/>
      <c r="C416" s="438"/>
      <c r="D416" s="431"/>
      <c r="E416" s="432"/>
      <c r="F416" s="436"/>
      <c r="G416" s="436"/>
      <c r="H416" s="437"/>
      <c r="I416" s="12">
        <f t="shared" si="32"/>
        <v>0</v>
      </c>
      <c r="J416" s="12">
        <f t="shared" si="33"/>
        <v>0</v>
      </c>
      <c r="K416" s="12"/>
      <c r="L416" s="63">
        <f t="shared" si="34"/>
        <v>60484.050000000047</v>
      </c>
      <c r="M416" s="25"/>
    </row>
    <row r="417" spans="2:13" x14ac:dyDescent="0.2">
      <c r="B417" s="427"/>
      <c r="C417" s="438"/>
      <c r="D417" s="431"/>
      <c r="E417" s="432"/>
      <c r="F417" s="436"/>
      <c r="G417" s="436"/>
      <c r="H417" s="437"/>
      <c r="I417" s="12">
        <f t="shared" si="32"/>
        <v>0</v>
      </c>
      <c r="J417" s="12">
        <f t="shared" si="33"/>
        <v>0</v>
      </c>
      <c r="K417" s="12"/>
      <c r="L417" s="63">
        <f t="shared" si="34"/>
        <v>60484.050000000047</v>
      </c>
      <c r="M417" s="25"/>
    </row>
    <row r="418" spans="2:13" x14ac:dyDescent="0.2">
      <c r="B418" s="427"/>
      <c r="C418" s="438"/>
      <c r="D418" s="431"/>
      <c r="E418" s="432"/>
      <c r="F418" s="436"/>
      <c r="G418" s="436"/>
      <c r="H418" s="437"/>
      <c r="I418" s="12">
        <f t="shared" si="32"/>
        <v>0</v>
      </c>
      <c r="J418" s="12">
        <f t="shared" si="33"/>
        <v>0</v>
      </c>
      <c r="K418" s="12"/>
      <c r="L418" s="63">
        <f t="shared" si="34"/>
        <v>60484.050000000047</v>
      </c>
      <c r="M418" s="25"/>
    </row>
    <row r="419" spans="2:13" x14ac:dyDescent="0.2">
      <c r="B419" s="427"/>
      <c r="C419" s="438"/>
      <c r="D419" s="431"/>
      <c r="E419" s="432"/>
      <c r="F419" s="436"/>
      <c r="G419" s="436"/>
      <c r="H419" s="437"/>
      <c r="I419" s="12">
        <f t="shared" si="32"/>
        <v>0</v>
      </c>
      <c r="J419" s="12">
        <f t="shared" si="33"/>
        <v>0</v>
      </c>
      <c r="K419" s="12"/>
      <c r="L419" s="63">
        <f t="shared" si="34"/>
        <v>60484.050000000047</v>
      </c>
      <c r="M419" s="25"/>
    </row>
    <row r="420" spans="2:13" x14ac:dyDescent="0.2">
      <c r="B420" s="427"/>
      <c r="C420" s="438"/>
      <c r="D420" s="431"/>
      <c r="E420" s="432"/>
      <c r="F420" s="436"/>
      <c r="G420" s="436"/>
      <c r="H420" s="437"/>
      <c r="I420" s="12">
        <f t="shared" si="32"/>
        <v>0</v>
      </c>
      <c r="J420" s="12">
        <f t="shared" si="33"/>
        <v>0</v>
      </c>
      <c r="K420" s="12"/>
      <c r="L420" s="63">
        <f t="shared" si="34"/>
        <v>60484.050000000047</v>
      </c>
      <c r="M420" s="25"/>
    </row>
    <row r="421" spans="2:13" x14ac:dyDescent="0.2">
      <c r="B421" s="427"/>
      <c r="C421" s="438"/>
      <c r="D421" s="431"/>
      <c r="E421" s="432"/>
      <c r="F421" s="436"/>
      <c r="G421" s="436"/>
      <c r="H421" s="437"/>
      <c r="I421" s="12">
        <f t="shared" si="32"/>
        <v>0</v>
      </c>
      <c r="J421" s="12">
        <f t="shared" si="33"/>
        <v>0</v>
      </c>
      <c r="K421" s="12"/>
      <c r="L421" s="63">
        <f t="shared" si="34"/>
        <v>60484.050000000047</v>
      </c>
      <c r="M421" s="25"/>
    </row>
    <row r="422" spans="2:13" x14ac:dyDescent="0.2">
      <c r="B422" s="442"/>
      <c r="C422" s="443"/>
      <c r="D422" s="444"/>
      <c r="E422" s="445"/>
      <c r="F422" s="446"/>
      <c r="G422" s="446"/>
      <c r="H422" s="447"/>
      <c r="I422" s="12">
        <f t="shared" si="32"/>
        <v>0</v>
      </c>
      <c r="J422" s="12">
        <f t="shared" si="33"/>
        <v>0</v>
      </c>
      <c r="K422" s="12"/>
      <c r="L422" s="63">
        <f t="shared" si="34"/>
        <v>60484.050000000047</v>
      </c>
      <c r="M422" s="25"/>
    </row>
    <row r="423" spans="2:13" x14ac:dyDescent="0.2">
      <c r="B423" s="442"/>
      <c r="C423" s="443"/>
      <c r="D423" s="444"/>
      <c r="E423" s="445"/>
      <c r="F423" s="446"/>
      <c r="G423" s="446"/>
      <c r="H423" s="447"/>
      <c r="I423" s="12">
        <f t="shared" si="32"/>
        <v>0</v>
      </c>
      <c r="J423" s="12">
        <f t="shared" si="33"/>
        <v>0</v>
      </c>
      <c r="K423" s="12"/>
      <c r="L423" s="63">
        <f t="shared" si="34"/>
        <v>60484.050000000047</v>
      </c>
      <c r="M423" s="25"/>
    </row>
    <row r="424" spans="2:13" x14ac:dyDescent="0.2">
      <c r="B424" s="442"/>
      <c r="C424" s="443"/>
      <c r="D424" s="444"/>
      <c r="E424" s="445"/>
      <c r="F424" s="446"/>
      <c r="G424" s="446"/>
      <c r="H424" s="447"/>
      <c r="I424" s="12">
        <f t="shared" si="32"/>
        <v>0</v>
      </c>
      <c r="J424" s="12">
        <f t="shared" si="33"/>
        <v>0</v>
      </c>
      <c r="K424" s="12"/>
      <c r="L424" s="63">
        <f t="shared" si="34"/>
        <v>60484.050000000047</v>
      </c>
      <c r="M424" s="25"/>
    </row>
    <row r="425" spans="2:13" x14ac:dyDescent="0.2">
      <c r="B425" s="442"/>
      <c r="C425" s="443"/>
      <c r="D425" s="444"/>
      <c r="E425" s="445"/>
      <c r="F425" s="446"/>
      <c r="G425" s="446"/>
      <c r="H425" s="447"/>
      <c r="I425" s="12">
        <f t="shared" si="32"/>
        <v>0</v>
      </c>
      <c r="J425" s="12">
        <f t="shared" si="33"/>
        <v>0</v>
      </c>
      <c r="K425" s="12"/>
      <c r="L425" s="63">
        <f t="shared" si="34"/>
        <v>60484.050000000047</v>
      </c>
      <c r="M425" s="25"/>
    </row>
    <row r="426" spans="2:13" x14ac:dyDescent="0.2">
      <c r="B426" s="442"/>
      <c r="C426" s="443"/>
      <c r="D426" s="444"/>
      <c r="E426" s="445"/>
      <c r="F426" s="446"/>
      <c r="G426" s="446"/>
      <c r="H426" s="447"/>
      <c r="I426" s="12">
        <f t="shared" si="32"/>
        <v>0</v>
      </c>
      <c r="J426" s="12">
        <f t="shared" si="33"/>
        <v>0</v>
      </c>
      <c r="K426" s="12"/>
      <c r="L426" s="63">
        <f t="shared" si="34"/>
        <v>60484.050000000047</v>
      </c>
      <c r="M426" s="25"/>
    </row>
    <row r="427" spans="2:13" x14ac:dyDescent="0.2">
      <c r="B427" s="442"/>
      <c r="C427" s="443"/>
      <c r="D427" s="444"/>
      <c r="E427" s="445"/>
      <c r="F427" s="446"/>
      <c r="G427" s="446"/>
      <c r="H427" s="447"/>
      <c r="I427" s="12">
        <f t="shared" si="32"/>
        <v>0</v>
      </c>
      <c r="J427" s="12">
        <f t="shared" si="33"/>
        <v>0</v>
      </c>
      <c r="K427" s="12"/>
      <c r="L427" s="63">
        <f t="shared" si="34"/>
        <v>60484.050000000047</v>
      </c>
      <c r="M427" s="25"/>
    </row>
    <row r="428" spans="2:13" x14ac:dyDescent="0.2">
      <c r="B428" s="442"/>
      <c r="C428" s="443"/>
      <c r="D428" s="444"/>
      <c r="E428" s="445"/>
      <c r="F428" s="446"/>
      <c r="G428" s="446"/>
      <c r="H428" s="447"/>
      <c r="I428" s="12">
        <f t="shared" si="32"/>
        <v>0</v>
      </c>
      <c r="J428" s="12">
        <f t="shared" si="33"/>
        <v>0</v>
      </c>
      <c r="K428" s="12"/>
      <c r="L428" s="63">
        <f t="shared" si="34"/>
        <v>60484.050000000047</v>
      </c>
      <c r="M428" s="25"/>
    </row>
    <row r="429" spans="2:13" x14ac:dyDescent="0.2">
      <c r="B429" s="453"/>
      <c r="C429" s="457"/>
      <c r="D429" s="454"/>
      <c r="E429" s="455"/>
      <c r="F429" s="455"/>
      <c r="G429" s="455"/>
      <c r="H429" s="456"/>
      <c r="I429" s="12">
        <f t="shared" si="32"/>
        <v>0</v>
      </c>
      <c r="J429" s="12">
        <f t="shared" si="33"/>
        <v>0</v>
      </c>
      <c r="K429" s="12"/>
      <c r="L429" s="63">
        <f t="shared" si="34"/>
        <v>60484.050000000047</v>
      </c>
      <c r="M429" s="25"/>
    </row>
    <row r="430" spans="2:13" x14ac:dyDescent="0.2">
      <c r="B430" s="453"/>
      <c r="C430" s="457"/>
      <c r="D430" s="454"/>
      <c r="E430" s="455"/>
      <c r="F430" s="455"/>
      <c r="G430" s="455"/>
      <c r="H430" s="456"/>
      <c r="I430" s="12">
        <f t="shared" si="32"/>
        <v>0</v>
      </c>
      <c r="J430" s="12">
        <f t="shared" si="33"/>
        <v>0</v>
      </c>
      <c r="K430" s="12"/>
      <c r="L430" s="63">
        <f t="shared" si="34"/>
        <v>60484.050000000047</v>
      </c>
      <c r="M430" s="25"/>
    </row>
    <row r="431" spans="2:13" x14ac:dyDescent="0.2">
      <c r="B431" s="453"/>
      <c r="C431" s="457"/>
      <c r="D431" s="454"/>
      <c r="E431" s="455"/>
      <c r="F431" s="455"/>
      <c r="G431" s="455"/>
      <c r="H431" s="456"/>
      <c r="I431" s="12">
        <f t="shared" si="32"/>
        <v>0</v>
      </c>
      <c r="J431" s="12">
        <f t="shared" si="33"/>
        <v>0</v>
      </c>
      <c r="K431" s="12"/>
      <c r="L431" s="63">
        <f t="shared" si="34"/>
        <v>60484.050000000047</v>
      </c>
      <c r="M431" s="25"/>
    </row>
    <row r="432" spans="2:13" x14ac:dyDescent="0.2">
      <c r="B432" s="453"/>
      <c r="C432" s="457"/>
      <c r="D432" s="454"/>
      <c r="E432" s="455"/>
      <c r="F432" s="455"/>
      <c r="G432" s="455"/>
      <c r="H432" s="456"/>
      <c r="I432" s="12">
        <f t="shared" si="32"/>
        <v>0</v>
      </c>
      <c r="J432" s="12">
        <f t="shared" si="33"/>
        <v>0</v>
      </c>
      <c r="K432" s="12"/>
      <c r="L432" s="63">
        <f t="shared" si="34"/>
        <v>60484.050000000047</v>
      </c>
      <c r="M432" s="25"/>
    </row>
    <row r="433" spans="2:13" x14ac:dyDescent="0.2">
      <c r="B433" s="453"/>
      <c r="C433" s="457"/>
      <c r="D433" s="454"/>
      <c r="E433" s="455"/>
      <c r="F433" s="455"/>
      <c r="G433" s="455"/>
      <c r="H433" s="456"/>
      <c r="I433" s="12">
        <f t="shared" si="32"/>
        <v>0</v>
      </c>
      <c r="J433" s="12">
        <f t="shared" si="33"/>
        <v>0</v>
      </c>
      <c r="K433" s="12"/>
      <c r="L433" s="63">
        <f t="shared" si="34"/>
        <v>60484.050000000047</v>
      </c>
      <c r="M433" s="25"/>
    </row>
    <row r="434" spans="2:13" x14ac:dyDescent="0.2">
      <c r="B434" s="453"/>
      <c r="C434" s="457"/>
      <c r="D434" s="454"/>
      <c r="E434" s="455"/>
      <c r="F434" s="455"/>
      <c r="G434" s="455"/>
      <c r="H434" s="456"/>
      <c r="I434" s="12">
        <f t="shared" si="32"/>
        <v>0</v>
      </c>
      <c r="J434" s="12">
        <f t="shared" si="33"/>
        <v>0</v>
      </c>
      <c r="K434" s="12"/>
      <c r="L434" s="63">
        <f t="shared" si="34"/>
        <v>60484.050000000047</v>
      </c>
      <c r="M434" s="25"/>
    </row>
    <row r="435" spans="2:13" x14ac:dyDescent="0.2">
      <c r="B435" s="453"/>
      <c r="C435" s="457"/>
      <c r="D435" s="454"/>
      <c r="E435" s="455"/>
      <c r="F435" s="455"/>
      <c r="G435" s="455"/>
      <c r="H435" s="456"/>
      <c r="I435" s="12">
        <f t="shared" si="32"/>
        <v>0</v>
      </c>
      <c r="J435" s="12">
        <f t="shared" si="33"/>
        <v>0</v>
      </c>
      <c r="K435" s="12"/>
      <c r="L435" s="63">
        <f t="shared" si="34"/>
        <v>60484.050000000047</v>
      </c>
      <c r="M435" s="25"/>
    </row>
    <row r="436" spans="2:13" x14ac:dyDescent="0.2">
      <c r="B436" s="442"/>
      <c r="C436" s="443"/>
      <c r="D436" s="444"/>
      <c r="E436" s="445"/>
      <c r="F436" s="446"/>
      <c r="G436" s="446"/>
      <c r="H436" s="447"/>
      <c r="I436" s="12">
        <f t="shared" si="32"/>
        <v>0</v>
      </c>
      <c r="J436" s="12">
        <f t="shared" si="33"/>
        <v>0</v>
      </c>
      <c r="K436" s="12"/>
      <c r="L436" s="63">
        <f t="shared" si="34"/>
        <v>60484.050000000047</v>
      </c>
      <c r="M436" s="25"/>
    </row>
    <row r="437" spans="2:13" x14ac:dyDescent="0.2">
      <c r="B437" s="442"/>
      <c r="C437" s="443"/>
      <c r="D437" s="444"/>
      <c r="E437" s="445"/>
      <c r="F437" s="446"/>
      <c r="G437" s="446"/>
      <c r="H437" s="447"/>
      <c r="I437" s="12">
        <f t="shared" si="32"/>
        <v>0</v>
      </c>
      <c r="J437" s="12">
        <f t="shared" si="33"/>
        <v>0</v>
      </c>
      <c r="K437" s="12"/>
      <c r="L437" s="63">
        <f t="shared" si="34"/>
        <v>60484.050000000047</v>
      </c>
      <c r="M437" s="25"/>
    </row>
    <row r="438" spans="2:13" x14ac:dyDescent="0.2">
      <c r="B438" s="442"/>
      <c r="C438" s="449"/>
      <c r="D438" s="444"/>
      <c r="E438" s="445"/>
      <c r="F438" s="446"/>
      <c r="G438" s="446"/>
      <c r="H438" s="447"/>
      <c r="I438" s="12">
        <f t="shared" si="32"/>
        <v>0</v>
      </c>
      <c r="J438" s="12">
        <f t="shared" si="33"/>
        <v>0</v>
      </c>
      <c r="K438" s="12"/>
      <c r="L438" s="63">
        <f t="shared" si="34"/>
        <v>60484.050000000047</v>
      </c>
      <c r="M438" s="25"/>
    </row>
    <row r="439" spans="2:13" ht="13.5" customHeight="1" x14ac:dyDescent="0.2">
      <c r="B439" s="442"/>
      <c r="C439" s="449"/>
      <c r="D439" s="444"/>
      <c r="E439" s="445"/>
      <c r="F439" s="446"/>
      <c r="G439" s="446"/>
      <c r="H439" s="447"/>
      <c r="I439" s="12">
        <f t="shared" si="32"/>
        <v>0</v>
      </c>
      <c r="J439" s="12">
        <f t="shared" si="33"/>
        <v>0</v>
      </c>
      <c r="K439" s="12"/>
      <c r="L439" s="63">
        <f t="shared" si="34"/>
        <v>60484.050000000047</v>
      </c>
      <c r="M439" s="25"/>
    </row>
    <row r="440" spans="2:13" x14ac:dyDescent="0.2">
      <c r="B440" s="110"/>
      <c r="C440" s="65"/>
      <c r="D440" s="65"/>
      <c r="E440" s="13"/>
      <c r="F440" s="15"/>
      <c r="G440" s="66"/>
      <c r="H440" s="112"/>
      <c r="I440" s="12"/>
      <c r="J440" s="12"/>
      <c r="K440" s="12"/>
      <c r="L440" s="63">
        <f t="shared" si="34"/>
        <v>60484.050000000047</v>
      </c>
      <c r="M440" s="25"/>
    </row>
    <row r="441" spans="2:13" x14ac:dyDescent="0.2">
      <c r="B441" s="547" t="s">
        <v>310</v>
      </c>
      <c r="C441" s="548"/>
      <c r="D441" s="548"/>
      <c r="E441" s="548"/>
      <c r="F441" s="548"/>
      <c r="G441" s="548"/>
      <c r="H441" s="548"/>
      <c r="I441" s="548"/>
      <c r="J441" s="548"/>
      <c r="K441" s="549"/>
      <c r="L441" s="63">
        <f t="shared" si="34"/>
        <v>60484.050000000047</v>
      </c>
      <c r="M441" s="25"/>
    </row>
    <row r="442" spans="2:13" x14ac:dyDescent="0.2">
      <c r="B442" s="552" t="s">
        <v>56</v>
      </c>
      <c r="C442" s="553"/>
      <c r="D442" s="554" t="s">
        <v>51</v>
      </c>
      <c r="E442" s="554"/>
      <c r="F442" s="554"/>
      <c r="G442" s="94"/>
      <c r="H442" s="95"/>
      <c r="I442" s="96"/>
      <c r="J442" s="96"/>
      <c r="K442" s="97"/>
      <c r="L442" s="63">
        <f t="shared" si="34"/>
        <v>60484.050000000047</v>
      </c>
      <c r="M442" s="25"/>
    </row>
    <row r="443" spans="2:13" x14ac:dyDescent="0.2">
      <c r="B443" s="91" t="s">
        <v>1</v>
      </c>
      <c r="C443" s="92" t="s">
        <v>57</v>
      </c>
      <c r="D443" s="92" t="s">
        <v>2</v>
      </c>
      <c r="E443" s="474" t="s">
        <v>3</v>
      </c>
      <c r="F443" s="474" t="s">
        <v>4</v>
      </c>
      <c r="G443" s="561" t="s">
        <v>58</v>
      </c>
      <c r="H443" s="562"/>
      <c r="I443" s="562"/>
      <c r="J443" s="563"/>
      <c r="K443" s="90"/>
      <c r="L443" s="63">
        <f t="shared" si="34"/>
        <v>60484.050000000047</v>
      </c>
      <c r="M443" s="25"/>
    </row>
    <row r="444" spans="2:13" x14ac:dyDescent="0.2">
      <c r="B444" s="64"/>
      <c r="C444" s="349"/>
      <c r="D444" s="349"/>
      <c r="E444" s="3"/>
      <c r="F444" s="16"/>
      <c r="G444" s="571"/>
      <c r="H444" s="572"/>
      <c r="I444" s="573"/>
      <c r="J444" s="349"/>
      <c r="K444" s="70"/>
      <c r="L444" s="63">
        <f t="shared" si="34"/>
        <v>60484.050000000047</v>
      </c>
      <c r="M444" s="25"/>
    </row>
    <row r="445" spans="2:13" ht="10.5" customHeight="1" x14ac:dyDescent="0.2">
      <c r="B445" s="489"/>
      <c r="C445" s="491"/>
      <c r="D445" s="491"/>
      <c r="E445" s="492"/>
      <c r="F445" s="498"/>
      <c r="G445" s="498"/>
      <c r="H445" s="498"/>
      <c r="I445" s="498"/>
      <c r="J445" s="499"/>
      <c r="K445" s="499"/>
      <c r="L445" s="63">
        <f t="shared" si="34"/>
        <v>60484.050000000047</v>
      </c>
      <c r="M445" s="25"/>
    </row>
    <row r="446" spans="2:13" ht="10.5" customHeight="1" x14ac:dyDescent="0.2">
      <c r="B446" s="489"/>
      <c r="C446" s="491"/>
      <c r="D446" s="491"/>
      <c r="E446" s="492"/>
      <c r="F446" s="498"/>
      <c r="G446" s="498"/>
      <c r="H446" s="498"/>
      <c r="I446" s="498"/>
      <c r="J446" s="499"/>
      <c r="K446" s="500"/>
      <c r="L446" s="63">
        <f t="shared" si="34"/>
        <v>60484.050000000047</v>
      </c>
      <c r="M446" s="25"/>
    </row>
    <row r="447" spans="2:13" ht="10.5" customHeight="1" x14ac:dyDescent="0.2">
      <c r="B447" s="489"/>
      <c r="C447" s="491"/>
      <c r="D447" s="491"/>
      <c r="E447" s="492"/>
      <c r="F447" s="498"/>
      <c r="G447" s="498"/>
      <c r="H447" s="498"/>
      <c r="I447" s="498"/>
      <c r="J447" s="499"/>
      <c r="K447" s="500"/>
      <c r="L447" s="63">
        <f t="shared" si="34"/>
        <v>60484.050000000047</v>
      </c>
      <c r="M447" s="25"/>
    </row>
    <row r="448" spans="2:13" ht="10.5" customHeight="1" x14ac:dyDescent="0.2">
      <c r="B448" s="489"/>
      <c r="C448" s="491"/>
      <c r="D448" s="501"/>
      <c r="E448" s="501"/>
      <c r="F448" s="493"/>
      <c r="G448" s="479"/>
      <c r="H448" s="479"/>
      <c r="I448" s="479"/>
      <c r="J448" s="499"/>
      <c r="K448" s="500"/>
      <c r="L448" s="63">
        <f t="shared" si="34"/>
        <v>60484.050000000047</v>
      </c>
      <c r="M448" s="25"/>
    </row>
    <row r="449" spans="2:13" ht="10.5" customHeight="1" x14ac:dyDescent="0.2">
      <c r="B449" s="489"/>
      <c r="C449" s="491"/>
      <c r="D449" s="491"/>
      <c r="E449" s="492"/>
      <c r="F449" s="493"/>
      <c r="G449" s="479"/>
      <c r="H449" s="479"/>
      <c r="I449" s="479"/>
      <c r="J449" s="499"/>
      <c r="K449" s="500"/>
      <c r="L449" s="63">
        <f t="shared" si="34"/>
        <v>60484.050000000047</v>
      </c>
      <c r="M449" s="25"/>
    </row>
    <row r="450" spans="2:13" ht="10.5" customHeight="1" x14ac:dyDescent="0.2">
      <c r="B450" s="489"/>
      <c r="C450" s="490"/>
      <c r="D450" s="491"/>
      <c r="E450" s="492"/>
      <c r="F450" s="493"/>
      <c r="G450" s="479"/>
      <c r="H450" s="479"/>
      <c r="I450" s="479"/>
      <c r="J450" s="499"/>
      <c r="K450" s="499"/>
      <c r="L450" s="63">
        <f t="shared" si="34"/>
        <v>60484.050000000047</v>
      </c>
      <c r="M450" s="25"/>
    </row>
    <row r="451" spans="2:13" ht="10.5" customHeight="1" x14ac:dyDescent="0.2">
      <c r="B451" s="489"/>
      <c r="C451" s="495"/>
      <c r="D451" s="495"/>
      <c r="E451" s="492"/>
      <c r="F451" s="493"/>
      <c r="G451" s="479"/>
      <c r="H451" s="479"/>
      <c r="I451" s="479"/>
      <c r="J451" s="495"/>
      <c r="K451" s="488"/>
      <c r="L451" s="63">
        <f t="shared" si="34"/>
        <v>60484.050000000047</v>
      </c>
      <c r="M451" s="25"/>
    </row>
    <row r="452" spans="2:13" ht="10.5" customHeight="1" x14ac:dyDescent="0.2">
      <c r="B452" s="10"/>
      <c r="C452" s="77"/>
      <c r="D452" s="77"/>
      <c r="E452" s="3"/>
      <c r="F452" s="16"/>
      <c r="G452" s="81"/>
      <c r="H452" s="482"/>
      <c r="I452" s="482"/>
      <c r="J452" s="349"/>
      <c r="K452" s="70"/>
      <c r="L452" s="63">
        <f t="shared" si="34"/>
        <v>60484.050000000047</v>
      </c>
      <c r="M452" s="25"/>
    </row>
    <row r="453" spans="2:13" x14ac:dyDescent="0.2">
      <c r="B453" s="64"/>
      <c r="C453" s="77"/>
      <c r="D453" s="78"/>
      <c r="E453" s="3"/>
      <c r="F453" s="16"/>
      <c r="G453" s="81"/>
      <c r="H453" s="482"/>
      <c r="I453" s="482"/>
      <c r="J453" s="12"/>
      <c r="K453" s="12"/>
      <c r="L453" s="63">
        <f t="shared" si="34"/>
        <v>60484.050000000047</v>
      </c>
      <c r="M453" s="25"/>
    </row>
    <row r="454" spans="2:13" x14ac:dyDescent="0.2">
      <c r="B454" s="64"/>
      <c r="C454" s="78"/>
      <c r="D454" s="78"/>
      <c r="E454" s="3"/>
      <c r="F454" s="16"/>
      <c r="G454" s="69"/>
      <c r="H454" s="482"/>
      <c r="I454" s="482"/>
      <c r="J454" s="12"/>
      <c r="K454" s="12"/>
      <c r="L454" s="63">
        <f t="shared" si="34"/>
        <v>60484.050000000047</v>
      </c>
      <c r="M454" s="25"/>
    </row>
    <row r="455" spans="2:13" x14ac:dyDescent="0.2">
      <c r="B455" s="64"/>
      <c r="C455" s="78"/>
      <c r="D455" s="78"/>
      <c r="E455" s="3"/>
      <c r="F455" s="16"/>
      <c r="G455" s="81"/>
      <c r="H455" s="62"/>
      <c r="I455" s="12"/>
      <c r="J455" s="12"/>
      <c r="K455" s="12"/>
      <c r="L455" s="63">
        <f t="shared" si="34"/>
        <v>60484.050000000047</v>
      </c>
      <c r="M455" s="25"/>
    </row>
    <row r="456" spans="2:13" x14ac:dyDescent="0.2">
      <c r="B456" s="64"/>
      <c r="C456" s="78"/>
      <c r="D456" s="78"/>
      <c r="E456" s="3"/>
      <c r="F456" s="16"/>
      <c r="G456" s="81"/>
      <c r="H456" s="62"/>
      <c r="I456" s="12"/>
      <c r="J456" s="12"/>
      <c r="K456" s="12"/>
      <c r="L456" s="63">
        <f t="shared" si="34"/>
        <v>60484.050000000047</v>
      </c>
      <c r="M456" s="25"/>
    </row>
    <row r="457" spans="2:13" x14ac:dyDescent="0.2">
      <c r="B457" s="64"/>
      <c r="C457" s="78"/>
      <c r="D457" s="78"/>
      <c r="E457" s="3"/>
      <c r="F457" s="16"/>
      <c r="G457" s="81"/>
      <c r="H457" s="62"/>
      <c r="I457" s="12"/>
      <c r="J457" s="12"/>
      <c r="K457" s="12"/>
      <c r="L457" s="63">
        <f t="shared" si="34"/>
        <v>60484.050000000047</v>
      </c>
      <c r="M457" s="25"/>
    </row>
    <row r="458" spans="2:13" x14ac:dyDescent="0.2">
      <c r="B458" s="64"/>
      <c r="C458" s="78"/>
      <c r="D458" s="78"/>
      <c r="E458" s="3"/>
      <c r="F458" s="16"/>
      <c r="G458" s="81"/>
      <c r="H458" s="62"/>
      <c r="I458" s="12"/>
      <c r="J458" s="12"/>
      <c r="K458" s="12"/>
      <c r="L458" s="63">
        <f t="shared" ref="L458:L461" si="35">+J458-K458+L457</f>
        <v>60484.050000000047</v>
      </c>
      <c r="M458" s="25"/>
    </row>
    <row r="459" spans="2:13" x14ac:dyDescent="0.2">
      <c r="B459" s="64"/>
      <c r="C459" s="78"/>
      <c r="D459" s="78"/>
      <c r="E459" s="3"/>
      <c r="F459" s="16"/>
      <c r="G459" s="81"/>
      <c r="H459" s="62"/>
      <c r="I459" s="12"/>
      <c r="J459" s="12"/>
      <c r="K459" s="12"/>
      <c r="L459" s="63">
        <f t="shared" si="35"/>
        <v>60484.050000000047</v>
      </c>
      <c r="M459" s="25"/>
    </row>
    <row r="460" spans="2:13" x14ac:dyDescent="0.2">
      <c r="B460" s="64"/>
      <c r="C460" s="65"/>
      <c r="D460" s="65"/>
      <c r="E460" s="13"/>
      <c r="F460" s="13"/>
      <c r="G460" s="81"/>
      <c r="H460" s="62"/>
      <c r="I460" s="12"/>
      <c r="J460" s="12"/>
      <c r="K460" s="12"/>
      <c r="L460" s="63">
        <f t="shared" si="35"/>
        <v>60484.050000000047</v>
      </c>
      <c r="M460" s="25"/>
    </row>
    <row r="461" spans="2:13" x14ac:dyDescent="0.2">
      <c r="B461" s="64"/>
      <c r="C461" s="65"/>
      <c r="D461" s="65"/>
      <c r="E461" s="3"/>
      <c r="F461" s="13"/>
      <c r="G461" s="81"/>
      <c r="H461" s="62"/>
      <c r="I461" s="12"/>
      <c r="J461" s="12"/>
      <c r="K461" s="12"/>
      <c r="L461" s="63">
        <f t="shared" si="35"/>
        <v>60484.050000000047</v>
      </c>
      <c r="M461" s="25"/>
    </row>
    <row r="462" spans="2:13" ht="12.75" thickBot="1" x14ac:dyDescent="0.25">
      <c r="B462" s="64"/>
      <c r="C462" s="65"/>
      <c r="D462" s="65"/>
      <c r="E462" s="13"/>
      <c r="F462" s="13"/>
      <c r="G462" s="104"/>
      <c r="H462" s="84"/>
      <c r="I462" s="12"/>
      <c r="J462" s="12"/>
      <c r="K462" s="12"/>
      <c r="L462" s="63"/>
      <c r="M462" s="25"/>
    </row>
    <row r="463" spans="2:13" x14ac:dyDescent="0.2">
      <c r="B463" s="56"/>
      <c r="C463" s="57"/>
      <c r="D463" s="57"/>
      <c r="E463" s="5"/>
      <c r="F463" s="5"/>
      <c r="G463" s="85" t="s">
        <v>67</v>
      </c>
      <c r="H463" s="107">
        <f>SUM(H390:H439)</f>
        <v>0</v>
      </c>
      <c r="I463" s="105">
        <f>SUM(I390:I439)</f>
        <v>0</v>
      </c>
      <c r="J463" s="106">
        <f>SUM(J390:J439)</f>
        <v>0</v>
      </c>
      <c r="K463" s="106">
        <f>SUM(K444:K461)</f>
        <v>0</v>
      </c>
      <c r="L463" s="108"/>
      <c r="M463" s="25"/>
    </row>
    <row r="464" spans="2:13" ht="12.75" thickBot="1" x14ac:dyDescent="0.25">
      <c r="B464" s="71"/>
      <c r="C464" s="72"/>
      <c r="D464" s="72"/>
      <c r="E464" s="73"/>
      <c r="F464" s="73"/>
      <c r="G464" s="86" t="s">
        <v>13</v>
      </c>
      <c r="H464" s="100"/>
      <c r="I464" s="99"/>
      <c r="J464" s="87"/>
      <c r="K464" s="87"/>
      <c r="L464" s="88">
        <f>+J463-K463+L389</f>
        <v>60484.050000000047</v>
      </c>
      <c r="M464" s="25"/>
    </row>
    <row r="465" spans="2:14" x14ac:dyDescent="0.2">
      <c r="B465" s="25"/>
      <c r="H465" s="74"/>
      <c r="I465" s="25"/>
      <c r="L465" s="25"/>
      <c r="M465" s="25"/>
    </row>
    <row r="466" spans="2:14" ht="12" customHeight="1" x14ac:dyDescent="0.2">
      <c r="B466" s="544" t="s">
        <v>48</v>
      </c>
      <c r="C466" s="545"/>
      <c r="D466" s="545"/>
      <c r="E466" s="545"/>
      <c r="F466" s="545"/>
      <c r="G466" s="545"/>
      <c r="H466" s="545"/>
      <c r="I466" s="545"/>
      <c r="J466" s="545"/>
      <c r="K466" s="545"/>
      <c r="L466" s="546"/>
      <c r="M466" s="25"/>
    </row>
    <row r="467" spans="2:14" x14ac:dyDescent="0.2">
      <c r="B467" s="547" t="s">
        <v>626</v>
      </c>
      <c r="C467" s="548"/>
      <c r="D467" s="548"/>
      <c r="E467" s="548"/>
      <c r="F467" s="548"/>
      <c r="G467" s="548"/>
      <c r="H467" s="548"/>
      <c r="I467" s="548"/>
      <c r="J467" s="548"/>
      <c r="K467" s="548"/>
      <c r="L467" s="549"/>
      <c r="M467" s="25"/>
    </row>
    <row r="468" spans="2:14" x14ac:dyDescent="0.2">
      <c r="B468" s="550" t="s">
        <v>50</v>
      </c>
      <c r="C468" s="550"/>
      <c r="D468" s="551" t="s">
        <v>51</v>
      </c>
      <c r="E468" s="551"/>
      <c r="F468" s="551"/>
      <c r="G468" s="472"/>
      <c r="H468" s="472"/>
      <c r="I468" s="472"/>
      <c r="J468" s="472"/>
      <c r="K468" s="472"/>
      <c r="L468" s="473"/>
      <c r="M468" s="25"/>
    </row>
    <row r="469" spans="2:14" ht="24" x14ac:dyDescent="0.2">
      <c r="B469" s="56" t="s">
        <v>1</v>
      </c>
      <c r="C469" s="57" t="s">
        <v>2</v>
      </c>
      <c r="D469" s="57" t="s">
        <v>2</v>
      </c>
      <c r="E469" s="5" t="s">
        <v>3</v>
      </c>
      <c r="F469" s="5" t="s">
        <v>4</v>
      </c>
      <c r="G469" s="89" t="s">
        <v>6</v>
      </c>
      <c r="H469" s="83" t="s">
        <v>7</v>
      </c>
      <c r="I469" s="83" t="s">
        <v>52</v>
      </c>
      <c r="J469" s="83" t="s">
        <v>53</v>
      </c>
      <c r="K469" s="5" t="s">
        <v>10</v>
      </c>
      <c r="L469" s="5" t="s">
        <v>11</v>
      </c>
      <c r="M469" s="25"/>
    </row>
    <row r="470" spans="2:14" x14ac:dyDescent="0.2">
      <c r="B470" s="58"/>
      <c r="C470" s="59"/>
      <c r="D470" s="59"/>
      <c r="E470" s="13"/>
      <c r="F470" s="13"/>
      <c r="G470" s="24"/>
      <c r="H470" s="60"/>
      <c r="I470" s="61"/>
      <c r="J470" s="61"/>
      <c r="K470" s="61"/>
      <c r="L470" s="60">
        <f>L464</f>
        <v>60484.050000000047</v>
      </c>
      <c r="M470" s="25"/>
    </row>
    <row r="471" spans="2:14" x14ac:dyDescent="0.2">
      <c r="B471" s="110"/>
      <c r="C471" s="353"/>
      <c r="D471" s="11"/>
      <c r="E471" s="15"/>
      <c r="F471" s="15"/>
      <c r="G471" s="15"/>
      <c r="H471" s="112"/>
      <c r="I471" s="12">
        <f>H471*0.32</f>
        <v>0</v>
      </c>
      <c r="J471" s="12">
        <f>H471*0.68</f>
        <v>0</v>
      </c>
      <c r="K471" s="12"/>
      <c r="L471" s="63">
        <f>+J471-K471+L470</f>
        <v>60484.050000000047</v>
      </c>
      <c r="M471" s="25"/>
    </row>
    <row r="472" spans="2:14" x14ac:dyDescent="0.2">
      <c r="B472" s="110"/>
      <c r="C472" s="353"/>
      <c r="D472" s="11"/>
      <c r="E472" s="15"/>
      <c r="F472" s="15"/>
      <c r="G472" s="15"/>
      <c r="H472" s="112"/>
      <c r="I472" s="12">
        <f t="shared" ref="I472:I479" si="36">H472*0.32</f>
        <v>0</v>
      </c>
      <c r="J472" s="12">
        <f t="shared" ref="J472:J511" si="37">H472*0.68</f>
        <v>0</v>
      </c>
      <c r="K472" s="12"/>
      <c r="L472" s="63">
        <f t="shared" ref="L472:L523" si="38">+J472-K472+L471</f>
        <v>60484.050000000047</v>
      </c>
      <c r="M472" s="25"/>
    </row>
    <row r="473" spans="2:14" x14ac:dyDescent="0.2">
      <c r="B473" s="110"/>
      <c r="C473" s="353"/>
      <c r="D473" s="11"/>
      <c r="E473" s="15"/>
      <c r="F473" s="15"/>
      <c r="G473" s="15"/>
      <c r="H473" s="112"/>
      <c r="I473" s="12">
        <f t="shared" si="36"/>
        <v>0</v>
      </c>
      <c r="J473" s="12">
        <f>H473*0.68</f>
        <v>0</v>
      </c>
      <c r="K473" s="12"/>
      <c r="L473" s="63">
        <f t="shared" si="38"/>
        <v>60484.050000000047</v>
      </c>
      <c r="M473" s="25"/>
    </row>
    <row r="474" spans="2:14" x14ac:dyDescent="0.2">
      <c r="B474" s="110"/>
      <c r="C474" s="353"/>
      <c r="D474" s="77"/>
      <c r="E474" s="15"/>
      <c r="F474" s="15"/>
      <c r="G474" s="15"/>
      <c r="H474" s="112"/>
      <c r="I474" s="12">
        <f t="shared" si="36"/>
        <v>0</v>
      </c>
      <c r="J474" s="12">
        <f t="shared" si="37"/>
        <v>0</v>
      </c>
      <c r="K474" s="12"/>
      <c r="L474" s="63">
        <f t="shared" si="38"/>
        <v>60484.050000000047</v>
      </c>
      <c r="M474" s="25"/>
    </row>
    <row r="475" spans="2:14" x14ac:dyDescent="0.2">
      <c r="B475" s="110"/>
      <c r="C475" s="353"/>
      <c r="D475" s="77"/>
      <c r="E475" s="15"/>
      <c r="F475" s="15"/>
      <c r="G475" s="15"/>
      <c r="H475" s="112"/>
      <c r="I475" s="12">
        <f t="shared" si="36"/>
        <v>0</v>
      </c>
      <c r="J475" s="12">
        <f>H475*0.68</f>
        <v>0</v>
      </c>
      <c r="K475" s="12"/>
      <c r="L475" s="63">
        <f t="shared" si="38"/>
        <v>60484.050000000047</v>
      </c>
      <c r="M475" s="25"/>
    </row>
    <row r="476" spans="2:14" x14ac:dyDescent="0.2">
      <c r="B476" s="110"/>
      <c r="C476" s="353"/>
      <c r="D476" s="77"/>
      <c r="E476" s="15"/>
      <c r="F476" s="15"/>
      <c r="G476" s="15"/>
      <c r="H476" s="112"/>
      <c r="I476" s="12">
        <f t="shared" si="36"/>
        <v>0</v>
      </c>
      <c r="J476" s="12">
        <f t="shared" si="37"/>
        <v>0</v>
      </c>
      <c r="K476" s="12"/>
      <c r="L476" s="63">
        <f t="shared" si="38"/>
        <v>60484.050000000047</v>
      </c>
      <c r="M476" s="25"/>
      <c r="N476" s="26" t="s">
        <v>825</v>
      </c>
    </row>
    <row r="477" spans="2:14" x14ac:dyDescent="0.2">
      <c r="B477" s="110"/>
      <c r="C477" s="353"/>
      <c r="D477" s="77"/>
      <c r="E477" s="15"/>
      <c r="F477" s="15"/>
      <c r="G477" s="15"/>
      <c r="H477" s="112"/>
      <c r="I477" s="12">
        <f t="shared" si="36"/>
        <v>0</v>
      </c>
      <c r="J477" s="12">
        <f t="shared" si="37"/>
        <v>0</v>
      </c>
      <c r="K477" s="12"/>
      <c r="L477" s="63">
        <f t="shared" si="38"/>
        <v>60484.050000000047</v>
      </c>
      <c r="M477" s="25"/>
    </row>
    <row r="478" spans="2:14" x14ac:dyDescent="0.2">
      <c r="B478" s="110"/>
      <c r="C478" s="353"/>
      <c r="D478" s="77"/>
      <c r="E478" s="15"/>
      <c r="F478" s="15"/>
      <c r="G478" s="15"/>
      <c r="H478" s="112"/>
      <c r="I478" s="12">
        <f t="shared" si="36"/>
        <v>0</v>
      </c>
      <c r="J478" s="12">
        <f t="shared" si="37"/>
        <v>0</v>
      </c>
      <c r="K478" s="12"/>
      <c r="L478" s="63">
        <f t="shared" si="38"/>
        <v>60484.050000000047</v>
      </c>
      <c r="M478" s="25"/>
    </row>
    <row r="479" spans="2:14" x14ac:dyDescent="0.2">
      <c r="B479" s="442"/>
      <c r="C479" s="443"/>
      <c r="D479" s="450"/>
      <c r="E479" s="446"/>
      <c r="F479" s="446"/>
      <c r="G479" s="446"/>
      <c r="H479" s="447"/>
      <c r="I479" s="12">
        <f t="shared" si="36"/>
        <v>0</v>
      </c>
      <c r="J479" s="12">
        <f t="shared" si="37"/>
        <v>0</v>
      </c>
      <c r="K479" s="12"/>
      <c r="L479" s="63">
        <f t="shared" si="38"/>
        <v>60484.050000000047</v>
      </c>
      <c r="M479" s="25"/>
    </row>
    <row r="480" spans="2:14" x14ac:dyDescent="0.2">
      <c r="B480" s="442"/>
      <c r="C480" s="443"/>
      <c r="D480" s="451"/>
      <c r="E480" s="446"/>
      <c r="F480" s="446"/>
      <c r="G480" s="446"/>
      <c r="H480" s="447"/>
      <c r="I480" s="12">
        <f>H480*0.32</f>
        <v>0</v>
      </c>
      <c r="J480" s="12">
        <f t="shared" si="37"/>
        <v>0</v>
      </c>
      <c r="K480" s="12"/>
      <c r="L480" s="63">
        <f t="shared" si="38"/>
        <v>60484.050000000047</v>
      </c>
      <c r="M480" s="25"/>
    </row>
    <row r="481" spans="2:13" x14ac:dyDescent="0.2">
      <c r="B481" s="442"/>
      <c r="C481" s="443"/>
      <c r="D481" s="451"/>
      <c r="E481" s="446"/>
      <c r="F481" s="446"/>
      <c r="G481" s="446"/>
      <c r="H481" s="447"/>
      <c r="I481" s="12">
        <f>H481*0.32</f>
        <v>0</v>
      </c>
      <c r="J481" s="12">
        <f t="shared" si="37"/>
        <v>0</v>
      </c>
      <c r="K481" s="12"/>
      <c r="L481" s="63">
        <f t="shared" si="38"/>
        <v>60484.050000000047</v>
      </c>
      <c r="M481" s="25"/>
    </row>
    <row r="482" spans="2:13" x14ac:dyDescent="0.2">
      <c r="B482" s="442"/>
      <c r="C482" s="443"/>
      <c r="D482" s="451"/>
      <c r="E482" s="446"/>
      <c r="F482" s="446"/>
      <c r="G482" s="446"/>
      <c r="H482" s="447"/>
      <c r="I482" s="12">
        <f>H482*0.32</f>
        <v>0</v>
      </c>
      <c r="J482" s="12">
        <f t="shared" si="37"/>
        <v>0</v>
      </c>
      <c r="K482" s="12"/>
      <c r="L482" s="63">
        <f t="shared" si="38"/>
        <v>60484.050000000047</v>
      </c>
      <c r="M482" s="25"/>
    </row>
    <row r="483" spans="2:13" x14ac:dyDescent="0.2">
      <c r="B483" s="442"/>
      <c r="C483" s="443"/>
      <c r="D483" s="451"/>
      <c r="E483" s="446"/>
      <c r="F483" s="446"/>
      <c r="G483" s="446"/>
      <c r="H483" s="447"/>
      <c r="I483" s="12">
        <f t="shared" ref="I483:I511" si="39">H483*0.32</f>
        <v>0</v>
      </c>
      <c r="J483" s="12">
        <f t="shared" si="37"/>
        <v>0</v>
      </c>
      <c r="K483" s="12"/>
      <c r="L483" s="63">
        <f t="shared" si="38"/>
        <v>60484.050000000047</v>
      </c>
      <c r="M483" s="25"/>
    </row>
    <row r="484" spans="2:13" x14ac:dyDescent="0.2">
      <c r="B484" s="442"/>
      <c r="C484" s="443"/>
      <c r="D484" s="451"/>
      <c r="E484" s="446"/>
      <c r="F484" s="446"/>
      <c r="G484" s="446"/>
      <c r="H484" s="447"/>
      <c r="I484" s="12">
        <f t="shared" si="39"/>
        <v>0</v>
      </c>
      <c r="J484" s="12">
        <f t="shared" si="37"/>
        <v>0</v>
      </c>
      <c r="K484" s="12"/>
      <c r="L484" s="63">
        <f t="shared" si="38"/>
        <v>60484.050000000047</v>
      </c>
      <c r="M484" s="25"/>
    </row>
    <row r="485" spans="2:13" x14ac:dyDescent="0.2">
      <c r="B485" s="442"/>
      <c r="C485" s="443"/>
      <c r="D485" s="451"/>
      <c r="E485" s="446"/>
      <c r="F485" s="446"/>
      <c r="G485" s="446"/>
      <c r="H485" s="447"/>
      <c r="I485" s="12">
        <f t="shared" si="39"/>
        <v>0</v>
      </c>
      <c r="J485" s="12">
        <f t="shared" si="37"/>
        <v>0</v>
      </c>
      <c r="K485" s="12"/>
      <c r="L485" s="63">
        <f t="shared" si="38"/>
        <v>60484.050000000047</v>
      </c>
      <c r="M485" s="25"/>
    </row>
    <row r="486" spans="2:13" x14ac:dyDescent="0.2">
      <c r="B486" s="442"/>
      <c r="C486" s="443"/>
      <c r="D486" s="451"/>
      <c r="E486" s="446"/>
      <c r="F486" s="446"/>
      <c r="G486" s="446"/>
      <c r="H486" s="447"/>
      <c r="I486" s="12">
        <f t="shared" si="39"/>
        <v>0</v>
      </c>
      <c r="J486" s="12">
        <f t="shared" si="37"/>
        <v>0</v>
      </c>
      <c r="K486" s="12"/>
      <c r="L486" s="63">
        <f t="shared" si="38"/>
        <v>60484.050000000047</v>
      </c>
      <c r="M486" s="25"/>
    </row>
    <row r="487" spans="2:13" x14ac:dyDescent="0.2">
      <c r="B487" s="442"/>
      <c r="C487" s="443"/>
      <c r="D487" s="451"/>
      <c r="E487" s="446"/>
      <c r="F487" s="446"/>
      <c r="G487" s="446"/>
      <c r="H487" s="447"/>
      <c r="I487" s="12">
        <f t="shared" si="39"/>
        <v>0</v>
      </c>
      <c r="J487" s="12">
        <f t="shared" si="37"/>
        <v>0</v>
      </c>
      <c r="K487" s="12"/>
      <c r="L487" s="63">
        <f t="shared" si="38"/>
        <v>60484.050000000047</v>
      </c>
      <c r="M487" s="25"/>
    </row>
    <row r="488" spans="2:13" x14ac:dyDescent="0.2">
      <c r="B488" s="110"/>
      <c r="C488" s="353"/>
      <c r="D488" s="11"/>
      <c r="E488" s="15"/>
      <c r="F488" s="15"/>
      <c r="G488" s="15"/>
      <c r="H488" s="112"/>
      <c r="I488" s="12">
        <f t="shared" si="39"/>
        <v>0</v>
      </c>
      <c r="J488" s="12">
        <f t="shared" si="37"/>
        <v>0</v>
      </c>
      <c r="K488" s="12"/>
      <c r="L488" s="63">
        <f t="shared" si="38"/>
        <v>60484.050000000047</v>
      </c>
      <c r="M488" s="25"/>
    </row>
    <row r="489" spans="2:13" x14ac:dyDescent="0.2">
      <c r="B489" s="110"/>
      <c r="C489" s="353"/>
      <c r="D489" s="11"/>
      <c r="E489" s="15"/>
      <c r="F489" s="15"/>
      <c r="G489" s="15"/>
      <c r="H489" s="112"/>
      <c r="I489" s="12">
        <f t="shared" si="39"/>
        <v>0</v>
      </c>
      <c r="J489" s="12">
        <f t="shared" si="37"/>
        <v>0</v>
      </c>
      <c r="K489" s="12"/>
      <c r="L489" s="63">
        <f t="shared" si="38"/>
        <v>60484.050000000047</v>
      </c>
      <c r="M489" s="25"/>
    </row>
    <row r="490" spans="2:13" x14ac:dyDescent="0.2">
      <c r="B490" s="453"/>
      <c r="C490" s="457"/>
      <c r="D490" s="454"/>
      <c r="E490" s="455"/>
      <c r="F490" s="455"/>
      <c r="G490" s="455"/>
      <c r="H490" s="456"/>
      <c r="I490" s="12">
        <f t="shared" si="39"/>
        <v>0</v>
      </c>
      <c r="J490" s="12">
        <f t="shared" si="37"/>
        <v>0</v>
      </c>
      <c r="K490" s="12"/>
      <c r="L490" s="63">
        <f t="shared" si="38"/>
        <v>60484.050000000047</v>
      </c>
      <c r="M490" s="25"/>
    </row>
    <row r="491" spans="2:13" x14ac:dyDescent="0.2">
      <c r="B491" s="453"/>
      <c r="C491" s="457"/>
      <c r="D491" s="454"/>
      <c r="E491" s="455"/>
      <c r="F491" s="455"/>
      <c r="G491" s="455"/>
      <c r="H491" s="456"/>
      <c r="I491" s="12">
        <f t="shared" si="39"/>
        <v>0</v>
      </c>
      <c r="J491" s="12">
        <f t="shared" si="37"/>
        <v>0</v>
      </c>
      <c r="K491" s="12"/>
      <c r="L491" s="63">
        <f t="shared" si="38"/>
        <v>60484.050000000047</v>
      </c>
      <c r="M491" s="25"/>
    </row>
    <row r="492" spans="2:13" x14ac:dyDescent="0.2">
      <c r="B492" s="453"/>
      <c r="C492" s="457"/>
      <c r="D492" s="454"/>
      <c r="E492" s="455"/>
      <c r="F492" s="455"/>
      <c r="G492" s="455"/>
      <c r="H492" s="456"/>
      <c r="I492" s="12">
        <f t="shared" si="39"/>
        <v>0</v>
      </c>
      <c r="J492" s="12">
        <f t="shared" si="37"/>
        <v>0</v>
      </c>
      <c r="K492" s="12"/>
      <c r="L492" s="63">
        <f t="shared" si="38"/>
        <v>60484.050000000047</v>
      </c>
      <c r="M492" s="25"/>
    </row>
    <row r="493" spans="2:13" x14ac:dyDescent="0.2">
      <c r="B493" s="453"/>
      <c r="C493" s="457"/>
      <c r="D493" s="454"/>
      <c r="E493" s="455"/>
      <c r="F493" s="455"/>
      <c r="G493" s="455"/>
      <c r="H493" s="456"/>
      <c r="I493" s="12">
        <f t="shared" si="39"/>
        <v>0</v>
      </c>
      <c r="J493" s="12">
        <f t="shared" si="37"/>
        <v>0</v>
      </c>
      <c r="K493" s="12"/>
      <c r="L493" s="63">
        <f t="shared" si="38"/>
        <v>60484.050000000047</v>
      </c>
      <c r="M493" s="25"/>
    </row>
    <row r="494" spans="2:13" x14ac:dyDescent="0.2">
      <c r="B494" s="453"/>
      <c r="C494" s="457"/>
      <c r="D494" s="454"/>
      <c r="E494" s="455"/>
      <c r="F494" s="455"/>
      <c r="G494" s="455"/>
      <c r="H494" s="456"/>
      <c r="I494" s="12">
        <f t="shared" si="39"/>
        <v>0</v>
      </c>
      <c r="J494" s="12">
        <f t="shared" si="37"/>
        <v>0</v>
      </c>
      <c r="K494" s="12"/>
      <c r="L494" s="63">
        <f t="shared" si="38"/>
        <v>60484.050000000047</v>
      </c>
      <c r="M494" s="25"/>
    </row>
    <row r="495" spans="2:13" x14ac:dyDescent="0.2">
      <c r="B495" s="453"/>
      <c r="C495" s="457"/>
      <c r="D495" s="454"/>
      <c r="E495" s="455"/>
      <c r="F495" s="455"/>
      <c r="G495" s="455"/>
      <c r="H495" s="456"/>
      <c r="I495" s="12">
        <f t="shared" si="39"/>
        <v>0</v>
      </c>
      <c r="J495" s="12">
        <f t="shared" si="37"/>
        <v>0</v>
      </c>
      <c r="K495" s="12"/>
      <c r="L495" s="63">
        <f t="shared" si="38"/>
        <v>60484.050000000047</v>
      </c>
      <c r="M495" s="25"/>
    </row>
    <row r="496" spans="2:13" x14ac:dyDescent="0.2">
      <c r="B496" s="461"/>
      <c r="C496" s="462"/>
      <c r="D496" s="463"/>
      <c r="E496" s="464"/>
      <c r="F496" s="464"/>
      <c r="G496" s="464"/>
      <c r="H496" s="465"/>
      <c r="I496" s="12">
        <f t="shared" si="39"/>
        <v>0</v>
      </c>
      <c r="J496" s="12">
        <f t="shared" si="37"/>
        <v>0</v>
      </c>
      <c r="K496" s="12"/>
      <c r="L496" s="63">
        <f t="shared" si="38"/>
        <v>60484.050000000047</v>
      </c>
      <c r="M496" s="25"/>
    </row>
    <row r="497" spans="2:13" x14ac:dyDescent="0.2">
      <c r="B497" s="461"/>
      <c r="C497" s="462"/>
      <c r="D497" s="463"/>
      <c r="E497" s="464"/>
      <c r="F497" s="464"/>
      <c r="G497" s="464"/>
      <c r="H497" s="465"/>
      <c r="I497" s="12">
        <f t="shared" si="39"/>
        <v>0</v>
      </c>
      <c r="J497" s="12">
        <f t="shared" si="37"/>
        <v>0</v>
      </c>
      <c r="K497" s="12"/>
      <c r="L497" s="63">
        <f t="shared" si="38"/>
        <v>60484.050000000047</v>
      </c>
      <c r="M497" s="25"/>
    </row>
    <row r="498" spans="2:13" x14ac:dyDescent="0.2">
      <c r="B498" s="110"/>
      <c r="C498" s="353"/>
      <c r="D498" s="65"/>
      <c r="E498" s="13"/>
      <c r="F498" s="15"/>
      <c r="G498" s="15"/>
      <c r="H498" s="112"/>
      <c r="I498" s="12">
        <f t="shared" si="39"/>
        <v>0</v>
      </c>
      <c r="J498" s="12">
        <f t="shared" si="37"/>
        <v>0</v>
      </c>
      <c r="K498" s="12"/>
      <c r="L498" s="63">
        <f t="shared" si="38"/>
        <v>60484.050000000047</v>
      </c>
      <c r="M498" s="25"/>
    </row>
    <row r="499" spans="2:13" x14ac:dyDescent="0.2">
      <c r="B499" s="110"/>
      <c r="C499" s="353"/>
      <c r="D499" s="65"/>
      <c r="E499" s="13"/>
      <c r="F499" s="15"/>
      <c r="G499" s="15"/>
      <c r="H499" s="112"/>
      <c r="I499" s="12">
        <f t="shared" si="39"/>
        <v>0</v>
      </c>
      <c r="J499" s="12">
        <f t="shared" si="37"/>
        <v>0</v>
      </c>
      <c r="K499" s="12"/>
      <c r="L499" s="63">
        <f t="shared" si="38"/>
        <v>60484.050000000047</v>
      </c>
      <c r="M499" s="25"/>
    </row>
    <row r="500" spans="2:13" x14ac:dyDescent="0.2">
      <c r="B500" s="110"/>
      <c r="C500" s="353"/>
      <c r="D500" s="65"/>
      <c r="E500" s="13"/>
      <c r="F500" s="15"/>
      <c r="G500" s="15"/>
      <c r="H500" s="112"/>
      <c r="I500" s="12">
        <f t="shared" si="39"/>
        <v>0</v>
      </c>
      <c r="J500" s="12">
        <f t="shared" si="37"/>
        <v>0</v>
      </c>
      <c r="K500" s="12"/>
      <c r="L500" s="63">
        <f t="shared" si="38"/>
        <v>60484.050000000047</v>
      </c>
      <c r="M500" s="25"/>
    </row>
    <row r="501" spans="2:13" x14ac:dyDescent="0.2">
      <c r="B501" s="110"/>
      <c r="C501" s="353"/>
      <c r="D501" s="65"/>
      <c r="E501" s="13"/>
      <c r="F501" s="15"/>
      <c r="G501" s="15"/>
      <c r="H501" s="112"/>
      <c r="I501" s="12">
        <f t="shared" si="39"/>
        <v>0</v>
      </c>
      <c r="J501" s="12">
        <f t="shared" si="37"/>
        <v>0</v>
      </c>
      <c r="K501" s="12"/>
      <c r="L501" s="63">
        <f t="shared" si="38"/>
        <v>60484.050000000047</v>
      </c>
      <c r="M501" s="25"/>
    </row>
    <row r="502" spans="2:13" x14ac:dyDescent="0.2">
      <c r="B502" s="110"/>
      <c r="C502" s="353"/>
      <c r="D502" s="65"/>
      <c r="E502" s="13"/>
      <c r="F502" s="15"/>
      <c r="G502" s="15"/>
      <c r="H502" s="112"/>
      <c r="I502" s="12">
        <f t="shared" si="39"/>
        <v>0</v>
      </c>
      <c r="J502" s="12">
        <f t="shared" si="37"/>
        <v>0</v>
      </c>
      <c r="K502" s="12"/>
      <c r="L502" s="63">
        <f t="shared" si="38"/>
        <v>60484.050000000047</v>
      </c>
      <c r="M502" s="25"/>
    </row>
    <row r="503" spans="2:13" x14ac:dyDescent="0.2">
      <c r="B503" s="110"/>
      <c r="C503" s="353"/>
      <c r="D503" s="65"/>
      <c r="E503" s="13"/>
      <c r="F503" s="15"/>
      <c r="G503" s="15"/>
      <c r="H503" s="112"/>
      <c r="I503" s="12">
        <f t="shared" si="39"/>
        <v>0</v>
      </c>
      <c r="J503" s="12">
        <f t="shared" si="37"/>
        <v>0</v>
      </c>
      <c r="K503" s="12"/>
      <c r="L503" s="63">
        <f t="shared" si="38"/>
        <v>60484.050000000047</v>
      </c>
      <c r="M503" s="25"/>
    </row>
    <row r="504" spans="2:13" x14ac:dyDescent="0.2">
      <c r="B504" s="110"/>
      <c r="C504" s="353"/>
      <c r="D504" s="65"/>
      <c r="E504" s="13"/>
      <c r="F504" s="15"/>
      <c r="G504" s="15"/>
      <c r="H504" s="112"/>
      <c r="I504" s="12">
        <f t="shared" si="39"/>
        <v>0</v>
      </c>
      <c r="J504" s="12">
        <f t="shared" si="37"/>
        <v>0</v>
      </c>
      <c r="K504" s="12"/>
      <c r="L504" s="63">
        <f t="shared" si="38"/>
        <v>60484.050000000047</v>
      </c>
      <c r="M504" s="25"/>
    </row>
    <row r="505" spans="2:13" x14ac:dyDescent="0.2">
      <c r="B505" s="110"/>
      <c r="C505" s="353"/>
      <c r="D505" s="65"/>
      <c r="E505" s="13"/>
      <c r="F505" s="15"/>
      <c r="G505" s="15"/>
      <c r="H505" s="112"/>
      <c r="I505" s="12">
        <f t="shared" si="39"/>
        <v>0</v>
      </c>
      <c r="J505" s="12">
        <f t="shared" si="37"/>
        <v>0</v>
      </c>
      <c r="K505" s="12"/>
      <c r="L505" s="63">
        <f t="shared" si="38"/>
        <v>60484.050000000047</v>
      </c>
      <c r="M505" s="25"/>
    </row>
    <row r="506" spans="2:13" x14ac:dyDescent="0.2">
      <c r="B506" s="110"/>
      <c r="C506" s="353"/>
      <c r="D506" s="65"/>
      <c r="E506" s="13"/>
      <c r="F506" s="15"/>
      <c r="G506" s="15"/>
      <c r="H506" s="112"/>
      <c r="I506" s="12">
        <f t="shared" si="39"/>
        <v>0</v>
      </c>
      <c r="J506" s="12">
        <f t="shared" si="37"/>
        <v>0</v>
      </c>
      <c r="K506" s="12"/>
      <c r="L506" s="63">
        <f t="shared" si="38"/>
        <v>60484.050000000047</v>
      </c>
      <c r="M506" s="25"/>
    </row>
    <row r="507" spans="2:13" x14ac:dyDescent="0.2">
      <c r="B507" s="110"/>
      <c r="C507" s="353"/>
      <c r="D507" s="65"/>
      <c r="E507" s="13"/>
      <c r="F507" s="15"/>
      <c r="G507" s="15"/>
      <c r="H507" s="112"/>
      <c r="I507" s="12">
        <f t="shared" si="39"/>
        <v>0</v>
      </c>
      <c r="J507" s="12">
        <f t="shared" si="37"/>
        <v>0</v>
      </c>
      <c r="K507" s="12"/>
      <c r="L507" s="63">
        <f>+J507-K507+L506</f>
        <v>60484.050000000047</v>
      </c>
      <c r="M507" s="25"/>
    </row>
    <row r="508" spans="2:13" x14ac:dyDescent="0.2">
      <c r="B508" s="110"/>
      <c r="C508" s="353"/>
      <c r="D508" s="65"/>
      <c r="E508" s="13"/>
      <c r="F508" s="15"/>
      <c r="G508" s="15"/>
      <c r="H508" s="112"/>
      <c r="I508" s="12">
        <f t="shared" si="39"/>
        <v>0</v>
      </c>
      <c r="J508" s="12">
        <f t="shared" si="37"/>
        <v>0</v>
      </c>
      <c r="K508" s="12"/>
      <c r="L508" s="63">
        <f t="shared" si="38"/>
        <v>60484.050000000047</v>
      </c>
      <c r="M508" s="25"/>
    </row>
    <row r="509" spans="2:13" x14ac:dyDescent="0.2">
      <c r="B509" s="110"/>
      <c r="C509" s="353"/>
      <c r="D509" s="65"/>
      <c r="E509" s="13"/>
      <c r="F509" s="15"/>
      <c r="G509" s="15"/>
      <c r="H509" s="112"/>
      <c r="I509" s="12">
        <f t="shared" si="39"/>
        <v>0</v>
      </c>
      <c r="J509" s="12">
        <f t="shared" si="37"/>
        <v>0</v>
      </c>
      <c r="K509" s="12"/>
      <c r="L509" s="63">
        <f t="shared" si="38"/>
        <v>60484.050000000047</v>
      </c>
      <c r="M509" s="25"/>
    </row>
    <row r="510" spans="2:13" x14ac:dyDescent="0.2">
      <c r="B510" s="110"/>
      <c r="C510" s="353"/>
      <c r="D510" s="65"/>
      <c r="E510" s="13"/>
      <c r="F510" s="15"/>
      <c r="G510" s="15"/>
      <c r="H510" s="112"/>
      <c r="I510" s="12">
        <f t="shared" si="39"/>
        <v>0</v>
      </c>
      <c r="J510" s="12">
        <f t="shared" si="37"/>
        <v>0</v>
      </c>
      <c r="K510" s="12"/>
      <c r="L510" s="63">
        <f t="shared" si="38"/>
        <v>60484.050000000047</v>
      </c>
      <c r="M510" s="25"/>
    </row>
    <row r="511" spans="2:13" x14ac:dyDescent="0.2">
      <c r="B511" s="110"/>
      <c r="C511" s="65"/>
      <c r="D511" s="65"/>
      <c r="E511" s="13"/>
      <c r="F511" s="15"/>
      <c r="G511" s="66"/>
      <c r="H511" s="112"/>
      <c r="I511" s="12">
        <f t="shared" si="39"/>
        <v>0</v>
      </c>
      <c r="J511" s="12">
        <f t="shared" si="37"/>
        <v>0</v>
      </c>
      <c r="K511" s="12"/>
      <c r="L511" s="63">
        <f t="shared" si="38"/>
        <v>60484.050000000047</v>
      </c>
      <c r="M511" s="25"/>
    </row>
    <row r="512" spans="2:13" x14ac:dyDescent="0.2">
      <c r="B512" s="547" t="s">
        <v>343</v>
      </c>
      <c r="C512" s="548"/>
      <c r="D512" s="548"/>
      <c r="E512" s="548"/>
      <c r="F512" s="548"/>
      <c r="G512" s="548"/>
      <c r="H512" s="548"/>
      <c r="I512" s="548"/>
      <c r="J512" s="548"/>
      <c r="K512" s="549"/>
      <c r="L512" s="63">
        <f t="shared" si="38"/>
        <v>60484.050000000047</v>
      </c>
      <c r="M512" s="25"/>
    </row>
    <row r="513" spans="2:13" x14ac:dyDescent="0.2">
      <c r="B513" s="552" t="s">
        <v>56</v>
      </c>
      <c r="C513" s="553"/>
      <c r="D513" s="554" t="s">
        <v>51</v>
      </c>
      <c r="E513" s="554"/>
      <c r="F513" s="554"/>
      <c r="G513" s="94"/>
      <c r="H513" s="95"/>
      <c r="I513" s="96"/>
      <c r="J513" s="96"/>
      <c r="K513" s="97"/>
      <c r="L513" s="63">
        <f t="shared" si="38"/>
        <v>60484.050000000047</v>
      </c>
      <c r="M513" s="25"/>
    </row>
    <row r="514" spans="2:13" x14ac:dyDescent="0.2">
      <c r="B514" s="91" t="s">
        <v>1</v>
      </c>
      <c r="C514" s="92" t="s">
        <v>57</v>
      </c>
      <c r="D514" s="92" t="s">
        <v>2</v>
      </c>
      <c r="E514" s="474" t="s">
        <v>3</v>
      </c>
      <c r="F514" s="474" t="s">
        <v>4</v>
      </c>
      <c r="G514" s="561" t="s">
        <v>58</v>
      </c>
      <c r="H514" s="562"/>
      <c r="I514" s="562"/>
      <c r="J514" s="563"/>
      <c r="K514" s="90"/>
      <c r="L514" s="63">
        <f t="shared" si="38"/>
        <v>60484.050000000047</v>
      </c>
      <c r="M514" s="25"/>
    </row>
    <row r="515" spans="2:13" ht="11.25" customHeight="1" x14ac:dyDescent="0.2">
      <c r="B515" s="64"/>
      <c r="C515" s="349"/>
      <c r="D515" s="349"/>
      <c r="E515" s="3"/>
      <c r="F515" s="16"/>
      <c r="G515" s="479"/>
      <c r="H515" s="479"/>
      <c r="I515" s="479"/>
      <c r="J515" s="349"/>
      <c r="K515" s="70"/>
      <c r="L515" s="63">
        <f t="shared" si="38"/>
        <v>60484.050000000047</v>
      </c>
      <c r="M515" s="25"/>
    </row>
    <row r="516" spans="2:13" ht="11.25" customHeight="1" x14ac:dyDescent="0.2">
      <c r="B516" s="64"/>
      <c r="C516" s="77"/>
      <c r="D516" s="78"/>
      <c r="E516" s="3"/>
      <c r="F516" s="16"/>
      <c r="G516" s="479"/>
      <c r="H516" s="479"/>
      <c r="I516" s="479"/>
      <c r="J516" s="12"/>
      <c r="K516" s="12"/>
      <c r="L516" s="63">
        <f t="shared" si="38"/>
        <v>60484.050000000047</v>
      </c>
      <c r="M516" s="25"/>
    </row>
    <row r="517" spans="2:13" ht="11.25" customHeight="1" x14ac:dyDescent="0.2">
      <c r="B517" s="64"/>
      <c r="C517" s="78"/>
      <c r="D517" s="78"/>
      <c r="E517" s="3"/>
      <c r="F517" s="16"/>
      <c r="G517" s="496"/>
      <c r="H517" s="496"/>
      <c r="I517" s="496"/>
      <c r="J517" s="440"/>
      <c r="K517" s="441"/>
      <c r="L517" s="63">
        <f t="shared" si="38"/>
        <v>60484.050000000047</v>
      </c>
      <c r="M517" s="25"/>
    </row>
    <row r="518" spans="2:13" ht="11.25" customHeight="1" x14ac:dyDescent="0.2">
      <c r="B518" s="64"/>
      <c r="C518" s="78"/>
      <c r="D518" s="78"/>
      <c r="E518" s="3"/>
      <c r="F518" s="16"/>
      <c r="G518" s="496"/>
      <c r="H518" s="496"/>
      <c r="I518" s="496"/>
      <c r="J518" s="440"/>
      <c r="K518" s="441"/>
      <c r="L518" s="63">
        <f t="shared" si="38"/>
        <v>60484.050000000047</v>
      </c>
      <c r="M518" s="25"/>
    </row>
    <row r="519" spans="2:13" ht="11.25" customHeight="1" x14ac:dyDescent="0.2">
      <c r="B519" s="64"/>
      <c r="C519" s="78"/>
      <c r="D519" s="78"/>
      <c r="E519" s="3"/>
      <c r="F519" s="16"/>
      <c r="G519" s="496"/>
      <c r="H519" s="496"/>
      <c r="I519" s="496"/>
      <c r="J519" s="440"/>
      <c r="K519" s="441"/>
      <c r="L519" s="63">
        <f t="shared" si="38"/>
        <v>60484.050000000047</v>
      </c>
      <c r="M519" s="25"/>
    </row>
    <row r="520" spans="2:13" ht="11.25" customHeight="1" x14ac:dyDescent="0.2">
      <c r="B520" s="64"/>
      <c r="C520" s="77"/>
      <c r="D520" s="78"/>
      <c r="E520" s="3"/>
      <c r="F520" s="16"/>
      <c r="G520" s="496"/>
      <c r="H520" s="496"/>
      <c r="I520" s="496"/>
      <c r="J520" s="440"/>
      <c r="K520" s="441"/>
      <c r="L520" s="63">
        <f t="shared" si="38"/>
        <v>60484.050000000047</v>
      </c>
      <c r="M520" s="25"/>
    </row>
    <row r="521" spans="2:13" ht="11.25" customHeight="1" x14ac:dyDescent="0.2">
      <c r="B521" s="64"/>
      <c r="C521" s="77"/>
      <c r="D521" s="78"/>
      <c r="E521" s="3"/>
      <c r="F521" s="16"/>
      <c r="G521" s="496"/>
      <c r="H521" s="496"/>
      <c r="I521" s="496"/>
      <c r="J521" s="440"/>
      <c r="K521" s="441"/>
      <c r="L521" s="63">
        <f t="shared" si="38"/>
        <v>60484.050000000047</v>
      </c>
      <c r="M521" s="25"/>
    </row>
    <row r="522" spans="2:13" ht="11.25" customHeight="1" x14ac:dyDescent="0.2">
      <c r="B522" s="64"/>
      <c r="C522" s="349"/>
      <c r="D522" s="349"/>
      <c r="E522" s="3"/>
      <c r="F522" s="16"/>
      <c r="G522" s="479"/>
      <c r="H522" s="479"/>
      <c r="I522" s="479"/>
      <c r="J522" s="349"/>
      <c r="K522" s="70"/>
      <c r="L522" s="63">
        <f t="shared" si="38"/>
        <v>60484.050000000047</v>
      </c>
      <c r="M522" s="25"/>
    </row>
    <row r="523" spans="2:13" x14ac:dyDescent="0.2">
      <c r="B523" s="10"/>
      <c r="C523" s="77"/>
      <c r="D523" s="77"/>
      <c r="E523" s="3"/>
      <c r="F523" s="16"/>
      <c r="G523" s="81"/>
      <c r="H523" s="568"/>
      <c r="I523" s="570"/>
      <c r="J523" s="349"/>
      <c r="K523" s="70"/>
      <c r="L523" s="63">
        <f t="shared" si="38"/>
        <v>60484.050000000047</v>
      </c>
      <c r="M523" s="25"/>
    </row>
    <row r="524" spans="2:13" ht="12.75" thickBot="1" x14ac:dyDescent="0.25">
      <c r="B524" s="64"/>
      <c r="C524" s="65"/>
      <c r="D524" s="65"/>
      <c r="E524" s="13"/>
      <c r="F524" s="13"/>
      <c r="G524" s="104"/>
      <c r="H524" s="84"/>
      <c r="I524" s="12"/>
      <c r="J524" s="12"/>
      <c r="K524" s="12"/>
      <c r="L524" s="63"/>
      <c r="M524" s="25"/>
    </row>
    <row r="525" spans="2:13" x14ac:dyDescent="0.2">
      <c r="B525" s="56"/>
      <c r="C525" s="57"/>
      <c r="D525" s="57"/>
      <c r="E525" s="5"/>
      <c r="F525" s="5"/>
      <c r="G525" s="85" t="s">
        <v>68</v>
      </c>
      <c r="H525" s="107">
        <f>SUM(H471:H506)</f>
        <v>0</v>
      </c>
      <c r="I525" s="105">
        <f>SUM(I471:I506)</f>
        <v>0</v>
      </c>
      <c r="J525" s="106">
        <f>SUM(J471:J506)</f>
        <v>0</v>
      </c>
      <c r="K525" s="106">
        <f>SUM(K515:K523)</f>
        <v>0</v>
      </c>
      <c r="L525" s="108"/>
      <c r="M525" s="25"/>
    </row>
    <row r="526" spans="2:13" ht="12.75" thickBot="1" x14ac:dyDescent="0.25">
      <c r="B526" s="71"/>
      <c r="C526" s="72"/>
      <c r="D526" s="72"/>
      <c r="E526" s="73"/>
      <c r="F526" s="73"/>
      <c r="G526" s="86" t="s">
        <v>13</v>
      </c>
      <c r="H526" s="100"/>
      <c r="I526" s="99"/>
      <c r="J526" s="87"/>
      <c r="K526" s="87"/>
      <c r="L526" s="88">
        <f>+J525-K525+L470</f>
        <v>60484.050000000047</v>
      </c>
      <c r="M526" s="25"/>
    </row>
    <row r="527" spans="2:13" x14ac:dyDescent="0.2">
      <c r="B527" s="25"/>
      <c r="H527" s="74"/>
      <c r="I527" s="25"/>
      <c r="L527" s="25"/>
      <c r="M527" s="25"/>
    </row>
    <row r="528" spans="2:13" ht="12" customHeight="1" x14ac:dyDescent="0.2">
      <c r="B528" s="544" t="s">
        <v>48</v>
      </c>
      <c r="C528" s="545"/>
      <c r="D528" s="545"/>
      <c r="E528" s="545"/>
      <c r="F528" s="545"/>
      <c r="G528" s="545"/>
      <c r="H528" s="545"/>
      <c r="I528" s="545"/>
      <c r="J528" s="545"/>
      <c r="K528" s="545"/>
      <c r="L528" s="546"/>
      <c r="M528" s="25"/>
    </row>
    <row r="529" spans="2:14" x14ac:dyDescent="0.2">
      <c r="B529" s="547" t="s">
        <v>625</v>
      </c>
      <c r="C529" s="548"/>
      <c r="D529" s="548"/>
      <c r="E529" s="548"/>
      <c r="F529" s="548"/>
      <c r="G529" s="548"/>
      <c r="H529" s="548"/>
      <c r="I529" s="548"/>
      <c r="J529" s="548"/>
      <c r="K529" s="548"/>
      <c r="L529" s="549"/>
      <c r="M529" s="25"/>
    </row>
    <row r="530" spans="2:14" x14ac:dyDescent="0.2">
      <c r="B530" s="550" t="s">
        <v>50</v>
      </c>
      <c r="C530" s="550"/>
      <c r="D530" s="551" t="s">
        <v>51</v>
      </c>
      <c r="E530" s="551"/>
      <c r="F530" s="551"/>
      <c r="G530" s="472"/>
      <c r="H530" s="472"/>
      <c r="I530" s="472"/>
      <c r="J530" s="472"/>
      <c r="K530" s="472"/>
      <c r="L530" s="473"/>
      <c r="M530" s="25"/>
    </row>
    <row r="531" spans="2:14" ht="24" x14ac:dyDescent="0.2">
      <c r="B531" s="56" t="s">
        <v>1</v>
      </c>
      <c r="C531" s="57" t="s">
        <v>2</v>
      </c>
      <c r="D531" s="57" t="s">
        <v>2</v>
      </c>
      <c r="E531" s="5" t="s">
        <v>3</v>
      </c>
      <c r="F531" s="5" t="s">
        <v>4</v>
      </c>
      <c r="G531" s="89" t="s">
        <v>6</v>
      </c>
      <c r="H531" s="83" t="s">
        <v>7</v>
      </c>
      <c r="I531" s="83" t="s">
        <v>52</v>
      </c>
      <c r="J531" s="83" t="s">
        <v>53</v>
      </c>
      <c r="K531" s="5" t="s">
        <v>10</v>
      </c>
      <c r="L531" s="5" t="s">
        <v>11</v>
      </c>
      <c r="M531" s="25"/>
    </row>
    <row r="532" spans="2:14" x14ac:dyDescent="0.2">
      <c r="B532" s="58"/>
      <c r="C532" s="59"/>
      <c r="D532" s="59"/>
      <c r="E532" s="13"/>
      <c r="F532" s="13"/>
      <c r="G532" s="24"/>
      <c r="H532" s="60"/>
      <c r="I532" s="61"/>
      <c r="J532" s="61"/>
      <c r="K532" s="61"/>
      <c r="L532" s="60">
        <f>L526</f>
        <v>60484.050000000047</v>
      </c>
      <c r="M532" s="25"/>
    </row>
    <row r="533" spans="2:14" x14ac:dyDescent="0.2">
      <c r="B533" s="110"/>
      <c r="C533" s="353"/>
      <c r="D533" s="11"/>
      <c r="E533" s="15"/>
      <c r="F533" s="15"/>
      <c r="G533" s="15"/>
      <c r="H533" s="112"/>
      <c r="I533" s="12">
        <f>H533*0.32</f>
        <v>0</v>
      </c>
      <c r="J533" s="12">
        <f>H533*0.68</f>
        <v>0</v>
      </c>
      <c r="K533" s="12"/>
      <c r="L533" s="63">
        <f>+J533-K533+L532</f>
        <v>60484.050000000047</v>
      </c>
      <c r="M533" s="25"/>
    </row>
    <row r="534" spans="2:14" x14ac:dyDescent="0.2">
      <c r="B534" s="110"/>
      <c r="C534" s="353"/>
      <c r="D534" s="11"/>
      <c r="E534" s="15"/>
      <c r="F534" s="15"/>
      <c r="G534" s="15"/>
      <c r="H534" s="112"/>
      <c r="I534" s="12">
        <f t="shared" ref="I534:I576" si="40">H534*0.32</f>
        <v>0</v>
      </c>
      <c r="J534" s="12">
        <f t="shared" ref="J534:J576" si="41">H534*0.68</f>
        <v>0</v>
      </c>
      <c r="K534" s="12"/>
      <c r="L534" s="63">
        <f t="shared" ref="L534:L543" si="42">+J534-K534+L533</f>
        <v>60484.050000000047</v>
      </c>
      <c r="M534" s="25"/>
    </row>
    <row r="535" spans="2:14" x14ac:dyDescent="0.2">
      <c r="B535" s="110"/>
      <c r="C535" s="353"/>
      <c r="D535" s="11"/>
      <c r="E535" s="15"/>
      <c r="F535" s="15"/>
      <c r="G535" s="15"/>
      <c r="H535" s="112"/>
      <c r="I535" s="12">
        <f t="shared" si="40"/>
        <v>0</v>
      </c>
      <c r="J535" s="12">
        <f t="shared" si="41"/>
        <v>0</v>
      </c>
      <c r="K535" s="12"/>
      <c r="L535" s="63">
        <f t="shared" si="42"/>
        <v>60484.050000000047</v>
      </c>
      <c r="M535" s="25"/>
    </row>
    <row r="536" spans="2:14" x14ac:dyDescent="0.2">
      <c r="B536" s="110"/>
      <c r="C536" s="353"/>
      <c r="D536" s="11"/>
      <c r="E536" s="15"/>
      <c r="F536" s="15"/>
      <c r="G536" s="15"/>
      <c r="H536" s="112"/>
      <c r="I536" s="12">
        <f t="shared" si="40"/>
        <v>0</v>
      </c>
      <c r="J536" s="12">
        <f t="shared" si="41"/>
        <v>0</v>
      </c>
      <c r="K536" s="12"/>
      <c r="L536" s="63">
        <f t="shared" si="42"/>
        <v>60484.050000000047</v>
      </c>
      <c r="M536" s="25"/>
    </row>
    <row r="537" spans="2:14" x14ac:dyDescent="0.2">
      <c r="B537" s="110"/>
      <c r="C537" s="353"/>
      <c r="D537" s="11"/>
      <c r="E537" s="15"/>
      <c r="F537" s="15"/>
      <c r="G537" s="15"/>
      <c r="H537" s="112"/>
      <c r="I537" s="12">
        <f t="shared" si="40"/>
        <v>0</v>
      </c>
      <c r="J537" s="12">
        <f t="shared" si="41"/>
        <v>0</v>
      </c>
      <c r="K537" s="12"/>
      <c r="L537" s="63">
        <f t="shared" si="42"/>
        <v>60484.050000000047</v>
      </c>
      <c r="M537" s="25"/>
    </row>
    <row r="538" spans="2:14" x14ac:dyDescent="0.2">
      <c r="B538" s="110"/>
      <c r="C538" s="353"/>
      <c r="D538" s="11"/>
      <c r="E538" s="15"/>
      <c r="F538" s="15"/>
      <c r="G538" s="15"/>
      <c r="H538" s="112"/>
      <c r="I538" s="12">
        <f t="shared" si="40"/>
        <v>0</v>
      </c>
      <c r="J538" s="12">
        <f t="shared" si="41"/>
        <v>0</v>
      </c>
      <c r="K538" s="12"/>
      <c r="L538" s="63">
        <f t="shared" si="42"/>
        <v>60484.050000000047</v>
      </c>
      <c r="M538" s="25"/>
      <c r="N538" s="26" t="s">
        <v>831</v>
      </c>
    </row>
    <row r="539" spans="2:14" x14ac:dyDescent="0.2">
      <c r="B539" s="110"/>
      <c r="C539" s="353"/>
      <c r="D539" s="11"/>
      <c r="E539" s="15"/>
      <c r="F539" s="15"/>
      <c r="G539" s="15"/>
      <c r="H539" s="112"/>
      <c r="I539" s="12">
        <f t="shared" si="40"/>
        <v>0</v>
      </c>
      <c r="J539" s="12">
        <f t="shared" si="41"/>
        <v>0</v>
      </c>
      <c r="K539" s="12"/>
      <c r="L539" s="63">
        <f t="shared" si="42"/>
        <v>60484.050000000047</v>
      </c>
      <c r="M539" s="25"/>
    </row>
    <row r="540" spans="2:14" ht="11.25" customHeight="1" x14ac:dyDescent="0.2">
      <c r="B540" s="110"/>
      <c r="C540" s="353"/>
      <c r="D540" s="77"/>
      <c r="E540" s="15"/>
      <c r="F540" s="15"/>
      <c r="G540" s="15"/>
      <c r="H540" s="112"/>
      <c r="I540" s="12">
        <f t="shared" si="40"/>
        <v>0</v>
      </c>
      <c r="J540" s="12">
        <f t="shared" si="41"/>
        <v>0</v>
      </c>
      <c r="K540" s="12"/>
      <c r="L540" s="63">
        <f t="shared" si="42"/>
        <v>60484.050000000047</v>
      </c>
      <c r="M540" s="25"/>
      <c r="N540" s="26" t="s">
        <v>830</v>
      </c>
    </row>
    <row r="541" spans="2:14" x14ac:dyDescent="0.2">
      <c r="B541" s="110"/>
      <c r="C541" s="353"/>
      <c r="D541" s="11"/>
      <c r="E541" s="15"/>
      <c r="F541" s="15"/>
      <c r="G541" s="15"/>
      <c r="H541" s="112"/>
      <c r="I541" s="12">
        <f t="shared" si="40"/>
        <v>0</v>
      </c>
      <c r="J541" s="12">
        <f t="shared" si="41"/>
        <v>0</v>
      </c>
      <c r="K541" s="12"/>
      <c r="L541" s="63">
        <f t="shared" si="42"/>
        <v>60484.050000000047</v>
      </c>
      <c r="M541" s="25"/>
    </row>
    <row r="542" spans="2:14" x14ac:dyDescent="0.2">
      <c r="B542" s="110"/>
      <c r="C542" s="353"/>
      <c r="D542" s="11"/>
      <c r="E542" s="15"/>
      <c r="F542" s="15"/>
      <c r="G542" s="15"/>
      <c r="H542" s="112"/>
      <c r="I542" s="12">
        <f t="shared" si="40"/>
        <v>0</v>
      </c>
      <c r="J542" s="12">
        <f t="shared" si="41"/>
        <v>0</v>
      </c>
      <c r="K542" s="12"/>
      <c r="L542" s="63">
        <f t="shared" si="42"/>
        <v>60484.050000000047</v>
      </c>
      <c r="M542" s="25"/>
    </row>
    <row r="543" spans="2:14" x14ac:dyDescent="0.2">
      <c r="B543" s="110"/>
      <c r="C543" s="353"/>
      <c r="D543" s="11"/>
      <c r="E543" s="15"/>
      <c r="F543" s="15"/>
      <c r="G543" s="15"/>
      <c r="H543" s="112"/>
      <c r="I543" s="12">
        <f t="shared" si="40"/>
        <v>0</v>
      </c>
      <c r="J543" s="12">
        <f t="shared" si="41"/>
        <v>0</v>
      </c>
      <c r="K543" s="12"/>
      <c r="L543" s="63">
        <f t="shared" si="42"/>
        <v>60484.050000000047</v>
      </c>
      <c r="M543" s="25"/>
    </row>
    <row r="544" spans="2:14" x14ac:dyDescent="0.2">
      <c r="B544" s="110"/>
      <c r="C544" s="353"/>
      <c r="D544" s="65"/>
      <c r="E544" s="13"/>
      <c r="F544" s="15"/>
      <c r="G544" s="15"/>
      <c r="H544" s="112"/>
      <c r="I544" s="12">
        <f t="shared" si="40"/>
        <v>0</v>
      </c>
      <c r="J544" s="12">
        <f t="shared" si="41"/>
        <v>0</v>
      </c>
      <c r="K544" s="12"/>
      <c r="L544" s="63">
        <f>+J544-K544+L543</f>
        <v>60484.050000000047</v>
      </c>
      <c r="M544" s="25"/>
    </row>
    <row r="545" spans="2:13" x14ac:dyDescent="0.2">
      <c r="B545" s="110"/>
      <c r="C545" s="353"/>
      <c r="D545" s="65"/>
      <c r="E545" s="13"/>
      <c r="F545" s="15"/>
      <c r="G545" s="15"/>
      <c r="H545" s="112"/>
      <c r="I545" s="12">
        <f t="shared" si="40"/>
        <v>0</v>
      </c>
      <c r="J545" s="12">
        <f t="shared" si="41"/>
        <v>0</v>
      </c>
      <c r="K545" s="12"/>
      <c r="L545" s="63">
        <f t="shared" ref="L545:L590" si="43">+J545-K545+L544</f>
        <v>60484.050000000047</v>
      </c>
      <c r="M545" s="25"/>
    </row>
    <row r="546" spans="2:13" x14ac:dyDescent="0.2">
      <c r="B546" s="442"/>
      <c r="C546" s="443"/>
      <c r="D546" s="444"/>
      <c r="E546" s="445"/>
      <c r="F546" s="446"/>
      <c r="G546" s="446"/>
      <c r="H546" s="447"/>
      <c r="I546" s="12">
        <f t="shared" si="40"/>
        <v>0</v>
      </c>
      <c r="J546" s="12">
        <f t="shared" si="41"/>
        <v>0</v>
      </c>
      <c r="K546" s="12"/>
      <c r="L546" s="63">
        <f t="shared" si="43"/>
        <v>60484.050000000047</v>
      </c>
      <c r="M546" s="25"/>
    </row>
    <row r="547" spans="2:13" x14ac:dyDescent="0.2">
      <c r="B547" s="442"/>
      <c r="C547" s="443"/>
      <c r="D547" s="444"/>
      <c r="E547" s="445"/>
      <c r="F547" s="446"/>
      <c r="G547" s="446"/>
      <c r="H547" s="447"/>
      <c r="I547" s="12">
        <f t="shared" si="40"/>
        <v>0</v>
      </c>
      <c r="J547" s="12">
        <f t="shared" si="41"/>
        <v>0</v>
      </c>
      <c r="K547" s="12"/>
      <c r="L547" s="63">
        <f t="shared" si="43"/>
        <v>60484.050000000047</v>
      </c>
      <c r="M547" s="25"/>
    </row>
    <row r="548" spans="2:13" x14ac:dyDescent="0.2">
      <c r="B548" s="442"/>
      <c r="C548" s="443"/>
      <c r="D548" s="444"/>
      <c r="E548" s="445"/>
      <c r="F548" s="446"/>
      <c r="G548" s="446"/>
      <c r="H548" s="447"/>
      <c r="I548" s="12">
        <f t="shared" si="40"/>
        <v>0</v>
      </c>
      <c r="J548" s="12">
        <f t="shared" si="41"/>
        <v>0</v>
      </c>
      <c r="K548" s="12"/>
      <c r="L548" s="63">
        <f t="shared" si="43"/>
        <v>60484.050000000047</v>
      </c>
      <c r="M548" s="25"/>
    </row>
    <row r="549" spans="2:13" x14ac:dyDescent="0.2">
      <c r="B549" s="442"/>
      <c r="C549" s="443"/>
      <c r="D549" s="444"/>
      <c r="E549" s="445"/>
      <c r="F549" s="446"/>
      <c r="G549" s="446"/>
      <c r="H549" s="447"/>
      <c r="I549" s="12">
        <f t="shared" si="40"/>
        <v>0</v>
      </c>
      <c r="J549" s="12">
        <f t="shared" si="41"/>
        <v>0</v>
      </c>
      <c r="K549" s="12"/>
      <c r="L549" s="63">
        <f t="shared" si="43"/>
        <v>60484.050000000047</v>
      </c>
      <c r="M549" s="25"/>
    </row>
    <row r="550" spans="2:13" x14ac:dyDescent="0.2">
      <c r="B550" s="442"/>
      <c r="C550" s="443"/>
      <c r="D550" s="444"/>
      <c r="E550" s="445"/>
      <c r="F550" s="446"/>
      <c r="G550" s="446"/>
      <c r="H550" s="447"/>
      <c r="I550" s="12">
        <f t="shared" si="40"/>
        <v>0</v>
      </c>
      <c r="J550" s="12">
        <f t="shared" si="41"/>
        <v>0</v>
      </c>
      <c r="K550" s="12"/>
      <c r="L550" s="63">
        <f t="shared" si="43"/>
        <v>60484.050000000047</v>
      </c>
      <c r="M550" s="25"/>
    </row>
    <row r="551" spans="2:13" x14ac:dyDescent="0.2">
      <c r="B551" s="442"/>
      <c r="C551" s="443"/>
      <c r="D551" s="444"/>
      <c r="E551" s="445"/>
      <c r="F551" s="446"/>
      <c r="G551" s="446"/>
      <c r="H551" s="447"/>
      <c r="I551" s="12">
        <f t="shared" si="40"/>
        <v>0</v>
      </c>
      <c r="J551" s="12">
        <f t="shared" si="41"/>
        <v>0</v>
      </c>
      <c r="K551" s="12"/>
      <c r="L551" s="63">
        <f t="shared" si="43"/>
        <v>60484.050000000047</v>
      </c>
      <c r="M551" s="25"/>
    </row>
    <row r="552" spans="2:13" x14ac:dyDescent="0.2">
      <c r="B552" s="442"/>
      <c r="C552" s="443"/>
      <c r="D552" s="444"/>
      <c r="E552" s="445"/>
      <c r="F552" s="446"/>
      <c r="G552" s="446"/>
      <c r="H552" s="447"/>
      <c r="I552" s="12">
        <f t="shared" si="40"/>
        <v>0</v>
      </c>
      <c r="J552" s="12">
        <f t="shared" si="41"/>
        <v>0</v>
      </c>
      <c r="K552" s="12"/>
      <c r="L552" s="63">
        <f t="shared" si="43"/>
        <v>60484.050000000047</v>
      </c>
      <c r="M552" s="25"/>
    </row>
    <row r="553" spans="2:13" x14ac:dyDescent="0.2">
      <c r="B553" s="442"/>
      <c r="C553" s="443"/>
      <c r="D553" s="444"/>
      <c r="E553" s="445"/>
      <c r="F553" s="446"/>
      <c r="G553" s="446"/>
      <c r="H553" s="447"/>
      <c r="I553" s="12">
        <f t="shared" si="40"/>
        <v>0</v>
      </c>
      <c r="J553" s="12">
        <f t="shared" si="41"/>
        <v>0</v>
      </c>
      <c r="K553" s="12"/>
      <c r="L553" s="63">
        <f t="shared" si="43"/>
        <v>60484.050000000047</v>
      </c>
      <c r="M553" s="25"/>
    </row>
    <row r="554" spans="2:13" x14ac:dyDescent="0.2">
      <c r="B554" s="442"/>
      <c r="C554" s="443"/>
      <c r="D554" s="444"/>
      <c r="E554" s="445"/>
      <c r="F554" s="446"/>
      <c r="G554" s="446"/>
      <c r="H554" s="447"/>
      <c r="I554" s="12">
        <f t="shared" si="40"/>
        <v>0</v>
      </c>
      <c r="J554" s="12">
        <f t="shared" si="41"/>
        <v>0</v>
      </c>
      <c r="K554" s="12"/>
      <c r="L554" s="63">
        <f t="shared" si="43"/>
        <v>60484.050000000047</v>
      </c>
      <c r="M554" s="25"/>
    </row>
    <row r="555" spans="2:13" x14ac:dyDescent="0.2">
      <c r="B555" s="442"/>
      <c r="C555" s="443"/>
      <c r="D555" s="444"/>
      <c r="E555" s="445"/>
      <c r="F555" s="446"/>
      <c r="G555" s="446"/>
      <c r="H555" s="447"/>
      <c r="I555" s="12">
        <f t="shared" si="40"/>
        <v>0</v>
      </c>
      <c r="J555" s="12">
        <f t="shared" si="41"/>
        <v>0</v>
      </c>
      <c r="K555" s="12"/>
      <c r="L555" s="63">
        <f t="shared" si="43"/>
        <v>60484.050000000047</v>
      </c>
      <c r="M555" s="25"/>
    </row>
    <row r="556" spans="2:13" x14ac:dyDescent="0.2">
      <c r="B556" s="442"/>
      <c r="C556" s="443"/>
      <c r="D556" s="444"/>
      <c r="E556" s="445"/>
      <c r="F556" s="446"/>
      <c r="G556" s="446"/>
      <c r="H556" s="447"/>
      <c r="I556" s="12">
        <f t="shared" si="40"/>
        <v>0</v>
      </c>
      <c r="J556" s="12">
        <f t="shared" si="41"/>
        <v>0</v>
      </c>
      <c r="K556" s="12"/>
      <c r="L556" s="63">
        <f t="shared" si="43"/>
        <v>60484.050000000047</v>
      </c>
      <c r="M556" s="25"/>
    </row>
    <row r="557" spans="2:13" x14ac:dyDescent="0.2">
      <c r="B557" s="442"/>
      <c r="C557" s="443"/>
      <c r="D557" s="444"/>
      <c r="E557" s="445"/>
      <c r="F557" s="446"/>
      <c r="G557" s="446"/>
      <c r="H557" s="447"/>
      <c r="I557" s="12">
        <f t="shared" si="40"/>
        <v>0</v>
      </c>
      <c r="J557" s="12">
        <f t="shared" si="41"/>
        <v>0</v>
      </c>
      <c r="K557" s="12"/>
      <c r="L557" s="63">
        <f t="shared" si="43"/>
        <v>60484.050000000047</v>
      </c>
      <c r="M557" s="25"/>
    </row>
    <row r="558" spans="2:13" x14ac:dyDescent="0.2">
      <c r="B558" s="442"/>
      <c r="C558" s="443"/>
      <c r="D558" s="444"/>
      <c r="E558" s="445"/>
      <c r="F558" s="446"/>
      <c r="G558" s="446"/>
      <c r="H558" s="447"/>
      <c r="I558" s="12">
        <f t="shared" si="40"/>
        <v>0</v>
      </c>
      <c r="J558" s="12">
        <f t="shared" si="41"/>
        <v>0</v>
      </c>
      <c r="K558" s="12"/>
      <c r="L558" s="63">
        <f t="shared" si="43"/>
        <v>60484.050000000047</v>
      </c>
      <c r="M558" s="25"/>
    </row>
    <row r="559" spans="2:13" x14ac:dyDescent="0.2">
      <c r="B559" s="442"/>
      <c r="C559" s="443"/>
      <c r="D559" s="444"/>
      <c r="E559" s="445"/>
      <c r="F559" s="446"/>
      <c r="G559" s="446"/>
      <c r="H559" s="447"/>
      <c r="I559" s="12">
        <f t="shared" si="40"/>
        <v>0</v>
      </c>
      <c r="J559" s="12">
        <f t="shared" si="41"/>
        <v>0</v>
      </c>
      <c r="K559" s="12"/>
      <c r="L559" s="63">
        <f t="shared" si="43"/>
        <v>60484.050000000047</v>
      </c>
      <c r="M559" s="25"/>
    </row>
    <row r="560" spans="2:13" x14ac:dyDescent="0.2">
      <c r="B560" s="442"/>
      <c r="C560" s="443"/>
      <c r="D560" s="444"/>
      <c r="E560" s="445"/>
      <c r="F560" s="446"/>
      <c r="G560" s="446"/>
      <c r="H560" s="447"/>
      <c r="I560" s="12">
        <f t="shared" si="40"/>
        <v>0</v>
      </c>
      <c r="J560" s="12">
        <f t="shared" si="41"/>
        <v>0</v>
      </c>
      <c r="K560" s="12"/>
      <c r="L560" s="63">
        <f t="shared" si="43"/>
        <v>60484.050000000047</v>
      </c>
      <c r="M560" s="25"/>
    </row>
    <row r="561" spans="2:13" x14ac:dyDescent="0.2">
      <c r="B561" s="442"/>
      <c r="C561" s="443"/>
      <c r="D561" s="444"/>
      <c r="E561" s="445"/>
      <c r="F561" s="446"/>
      <c r="G561" s="446"/>
      <c r="H561" s="447"/>
      <c r="I561" s="12">
        <f t="shared" si="40"/>
        <v>0</v>
      </c>
      <c r="J561" s="12">
        <f t="shared" si="41"/>
        <v>0</v>
      </c>
      <c r="K561" s="12"/>
      <c r="L561" s="63">
        <f t="shared" si="43"/>
        <v>60484.050000000047</v>
      </c>
      <c r="M561" s="25"/>
    </row>
    <row r="562" spans="2:13" x14ac:dyDescent="0.2">
      <c r="B562" s="442"/>
      <c r="C562" s="443"/>
      <c r="D562" s="444"/>
      <c r="E562" s="445"/>
      <c r="F562" s="446"/>
      <c r="G562" s="446"/>
      <c r="H562" s="447"/>
      <c r="I562" s="12">
        <f t="shared" si="40"/>
        <v>0</v>
      </c>
      <c r="J562" s="12">
        <f t="shared" si="41"/>
        <v>0</v>
      </c>
      <c r="K562" s="12"/>
      <c r="L562" s="63">
        <f t="shared" si="43"/>
        <v>60484.050000000047</v>
      </c>
      <c r="M562" s="25"/>
    </row>
    <row r="563" spans="2:13" x14ac:dyDescent="0.2">
      <c r="B563" s="110"/>
      <c r="C563" s="353"/>
      <c r="D563" s="65"/>
      <c r="E563" s="13"/>
      <c r="F563" s="15"/>
      <c r="G563" s="15"/>
      <c r="H563" s="112"/>
      <c r="I563" s="12">
        <f t="shared" si="40"/>
        <v>0</v>
      </c>
      <c r="J563" s="12">
        <f t="shared" si="41"/>
        <v>0</v>
      </c>
      <c r="K563" s="12"/>
      <c r="L563" s="63">
        <f t="shared" si="43"/>
        <v>60484.050000000047</v>
      </c>
      <c r="M563" s="25"/>
    </row>
    <row r="564" spans="2:13" x14ac:dyDescent="0.2">
      <c r="B564" s="110"/>
      <c r="C564" s="353"/>
      <c r="D564" s="65"/>
      <c r="E564" s="13"/>
      <c r="F564" s="15"/>
      <c r="G564" s="15"/>
      <c r="H564" s="112"/>
      <c r="I564" s="12">
        <f t="shared" si="40"/>
        <v>0</v>
      </c>
      <c r="J564" s="12">
        <f t="shared" si="41"/>
        <v>0</v>
      </c>
      <c r="K564" s="12"/>
      <c r="L564" s="63"/>
      <c r="M564" s="25"/>
    </row>
    <row r="565" spans="2:13" x14ac:dyDescent="0.2">
      <c r="B565" s="453"/>
      <c r="C565" s="457"/>
      <c r="D565" s="459"/>
      <c r="E565" s="460"/>
      <c r="F565" s="455"/>
      <c r="G565" s="455"/>
      <c r="H565" s="456"/>
      <c r="I565" s="12">
        <f t="shared" si="40"/>
        <v>0</v>
      </c>
      <c r="J565" s="12">
        <f t="shared" si="41"/>
        <v>0</v>
      </c>
      <c r="K565" s="12"/>
      <c r="L565" s="63"/>
      <c r="M565" s="25"/>
    </row>
    <row r="566" spans="2:13" x14ac:dyDescent="0.2">
      <c r="B566" s="453"/>
      <c r="C566" s="457"/>
      <c r="D566" s="459"/>
      <c r="E566" s="460"/>
      <c r="F566" s="455"/>
      <c r="G566" s="455"/>
      <c r="H566" s="456"/>
      <c r="I566" s="12">
        <f t="shared" si="40"/>
        <v>0</v>
      </c>
      <c r="J566" s="12">
        <f t="shared" si="41"/>
        <v>0</v>
      </c>
      <c r="K566" s="12"/>
      <c r="L566" s="63"/>
      <c r="M566" s="25"/>
    </row>
    <row r="567" spans="2:13" x14ac:dyDescent="0.2">
      <c r="B567" s="453"/>
      <c r="C567" s="457"/>
      <c r="D567" s="459"/>
      <c r="E567" s="460"/>
      <c r="F567" s="455"/>
      <c r="G567" s="455"/>
      <c r="H567" s="456"/>
      <c r="I567" s="12">
        <f t="shared" si="40"/>
        <v>0</v>
      </c>
      <c r="J567" s="12">
        <f t="shared" si="41"/>
        <v>0</v>
      </c>
      <c r="K567" s="12"/>
      <c r="L567" s="63"/>
      <c r="M567" s="25"/>
    </row>
    <row r="568" spans="2:13" x14ac:dyDescent="0.2">
      <c r="B568" s="453"/>
      <c r="C568" s="457"/>
      <c r="D568" s="459"/>
      <c r="E568" s="460"/>
      <c r="F568" s="455"/>
      <c r="G568" s="455"/>
      <c r="H568" s="456"/>
      <c r="I568" s="12">
        <f t="shared" si="40"/>
        <v>0</v>
      </c>
      <c r="J568" s="12">
        <f t="shared" si="41"/>
        <v>0</v>
      </c>
      <c r="K568" s="12"/>
      <c r="L568" s="63"/>
      <c r="M568" s="25"/>
    </row>
    <row r="569" spans="2:13" x14ac:dyDescent="0.2">
      <c r="B569" s="110"/>
      <c r="C569" s="353"/>
      <c r="D569" s="65"/>
      <c r="E569" s="13"/>
      <c r="F569" s="15"/>
      <c r="G569" s="15"/>
      <c r="H569" s="112"/>
      <c r="I569" s="12">
        <f t="shared" si="40"/>
        <v>0</v>
      </c>
      <c r="J569" s="12">
        <f t="shared" si="41"/>
        <v>0</v>
      </c>
      <c r="K569" s="12"/>
      <c r="L569" s="63">
        <f>+J569-K569+L563</f>
        <v>60484.050000000047</v>
      </c>
      <c r="M569" s="25"/>
    </row>
    <row r="570" spans="2:13" x14ac:dyDescent="0.2">
      <c r="B570" s="110"/>
      <c r="C570" s="353"/>
      <c r="D570" s="65"/>
      <c r="E570" s="13"/>
      <c r="F570" s="15"/>
      <c r="G570" s="15"/>
      <c r="H570" s="112"/>
      <c r="I570" s="12">
        <f t="shared" si="40"/>
        <v>0</v>
      </c>
      <c r="J570" s="12">
        <f t="shared" si="41"/>
        <v>0</v>
      </c>
      <c r="K570" s="12"/>
      <c r="L570" s="63">
        <f t="shared" si="43"/>
        <v>60484.050000000047</v>
      </c>
      <c r="M570" s="25"/>
    </row>
    <row r="571" spans="2:13" x14ac:dyDescent="0.2">
      <c r="B571" s="110"/>
      <c r="C571" s="353"/>
      <c r="D571" s="65"/>
      <c r="E571" s="13"/>
      <c r="F571" s="15"/>
      <c r="G571" s="15"/>
      <c r="H571" s="112"/>
      <c r="I571" s="12">
        <f t="shared" si="40"/>
        <v>0</v>
      </c>
      <c r="J571" s="12">
        <f t="shared" si="41"/>
        <v>0</v>
      </c>
      <c r="K571" s="12"/>
      <c r="L571" s="63">
        <f t="shared" si="43"/>
        <v>60484.050000000047</v>
      </c>
      <c r="M571" s="25"/>
    </row>
    <row r="572" spans="2:13" x14ac:dyDescent="0.2">
      <c r="B572" s="110"/>
      <c r="C572" s="353"/>
      <c r="D572" s="65"/>
      <c r="E572" s="13"/>
      <c r="F572" s="15"/>
      <c r="G572" s="15"/>
      <c r="H572" s="112"/>
      <c r="I572" s="12">
        <f t="shared" si="40"/>
        <v>0</v>
      </c>
      <c r="J572" s="12">
        <f t="shared" si="41"/>
        <v>0</v>
      </c>
      <c r="K572" s="12"/>
      <c r="L572" s="63">
        <f t="shared" si="43"/>
        <v>60484.050000000047</v>
      </c>
      <c r="M572" s="25"/>
    </row>
    <row r="573" spans="2:13" x14ac:dyDescent="0.2">
      <c r="B573" s="110"/>
      <c r="C573" s="353"/>
      <c r="D573" s="65"/>
      <c r="E573" s="13"/>
      <c r="F573" s="15"/>
      <c r="G573" s="15"/>
      <c r="H573" s="112"/>
      <c r="I573" s="12">
        <f t="shared" si="40"/>
        <v>0</v>
      </c>
      <c r="J573" s="12">
        <f t="shared" si="41"/>
        <v>0</v>
      </c>
      <c r="K573" s="12"/>
      <c r="L573" s="63">
        <f t="shared" si="43"/>
        <v>60484.050000000047</v>
      </c>
      <c r="M573" s="25"/>
    </row>
    <row r="574" spans="2:13" x14ac:dyDescent="0.2">
      <c r="B574" s="110"/>
      <c r="C574" s="353"/>
      <c r="D574" s="65"/>
      <c r="E574" s="13"/>
      <c r="F574" s="15"/>
      <c r="G574" s="15"/>
      <c r="H574" s="112"/>
      <c r="I574" s="12">
        <f t="shared" si="40"/>
        <v>0</v>
      </c>
      <c r="J574" s="12">
        <f t="shared" si="41"/>
        <v>0</v>
      </c>
      <c r="K574" s="12"/>
      <c r="L574" s="63">
        <f t="shared" si="43"/>
        <v>60484.050000000047</v>
      </c>
      <c r="M574" s="25"/>
    </row>
    <row r="575" spans="2:13" x14ac:dyDescent="0.2">
      <c r="B575" s="110"/>
      <c r="C575" s="353"/>
      <c r="D575" s="65"/>
      <c r="E575" s="13"/>
      <c r="F575" s="15"/>
      <c r="G575" s="15"/>
      <c r="H575" s="112"/>
      <c r="I575" s="12">
        <f t="shared" si="40"/>
        <v>0</v>
      </c>
      <c r="J575" s="12">
        <f t="shared" si="41"/>
        <v>0</v>
      </c>
      <c r="K575" s="12"/>
      <c r="L575" s="63">
        <f t="shared" si="43"/>
        <v>60484.050000000047</v>
      </c>
      <c r="M575" s="25"/>
    </row>
    <row r="576" spans="2:13" x14ac:dyDescent="0.2">
      <c r="B576" s="110"/>
      <c r="C576" s="353"/>
      <c r="D576" s="65"/>
      <c r="E576" s="13"/>
      <c r="F576" s="15"/>
      <c r="G576" s="15"/>
      <c r="H576" s="112"/>
      <c r="I576" s="12">
        <f t="shared" si="40"/>
        <v>0</v>
      </c>
      <c r="J576" s="12">
        <f t="shared" si="41"/>
        <v>0</v>
      </c>
      <c r="K576" s="12"/>
      <c r="L576" s="63">
        <f t="shared" si="43"/>
        <v>60484.050000000047</v>
      </c>
      <c r="M576" s="25"/>
    </row>
    <row r="577" spans="2:13" x14ac:dyDescent="0.2">
      <c r="B577" s="110"/>
      <c r="C577" s="65"/>
      <c r="D577" s="65"/>
      <c r="E577" s="13"/>
      <c r="F577" s="15"/>
      <c r="G577" s="66"/>
      <c r="H577" s="112"/>
      <c r="I577" s="12"/>
      <c r="J577" s="12"/>
      <c r="K577" s="12"/>
      <c r="L577" s="63">
        <f t="shared" si="43"/>
        <v>60484.050000000047</v>
      </c>
      <c r="M577" s="25"/>
    </row>
    <row r="578" spans="2:13" x14ac:dyDescent="0.2">
      <c r="B578" s="547" t="s">
        <v>370</v>
      </c>
      <c r="C578" s="548"/>
      <c r="D578" s="548"/>
      <c r="E578" s="548"/>
      <c r="F578" s="548"/>
      <c r="G578" s="548"/>
      <c r="H578" s="548"/>
      <c r="I578" s="548"/>
      <c r="J578" s="548"/>
      <c r="K578" s="549"/>
      <c r="L578" s="63">
        <f t="shared" si="43"/>
        <v>60484.050000000047</v>
      </c>
      <c r="M578" s="25"/>
    </row>
    <row r="579" spans="2:13" x14ac:dyDescent="0.2">
      <c r="B579" s="552" t="s">
        <v>56</v>
      </c>
      <c r="C579" s="553"/>
      <c r="D579" s="554" t="s">
        <v>51</v>
      </c>
      <c r="E579" s="554"/>
      <c r="F579" s="554"/>
      <c r="G579" s="94"/>
      <c r="H579" s="95"/>
      <c r="I579" s="96"/>
      <c r="J579" s="96"/>
      <c r="K579" s="97"/>
      <c r="L579" s="63">
        <f t="shared" si="43"/>
        <v>60484.050000000047</v>
      </c>
      <c r="M579" s="25"/>
    </row>
    <row r="580" spans="2:13" x14ac:dyDescent="0.2">
      <c r="B580" s="91" t="s">
        <v>1</v>
      </c>
      <c r="C580" s="92" t="s">
        <v>57</v>
      </c>
      <c r="D580" s="92" t="s">
        <v>2</v>
      </c>
      <c r="E580" s="474" t="s">
        <v>3</v>
      </c>
      <c r="F580" s="474" t="s">
        <v>4</v>
      </c>
      <c r="G580" s="561" t="s">
        <v>58</v>
      </c>
      <c r="H580" s="562"/>
      <c r="I580" s="562"/>
      <c r="J580" s="563"/>
      <c r="K580" s="90"/>
      <c r="L580" s="63">
        <f t="shared" si="43"/>
        <v>60484.050000000047</v>
      </c>
      <c r="M580" s="25"/>
    </row>
    <row r="581" spans="2:13" ht="11.25" customHeight="1" x14ac:dyDescent="0.2">
      <c r="B581" s="489"/>
      <c r="C581" s="495"/>
      <c r="D581" s="495"/>
      <c r="E581" s="492"/>
      <c r="F581" s="493"/>
      <c r="G581" s="496"/>
      <c r="H581" s="496"/>
      <c r="I581" s="496"/>
      <c r="J581" s="440"/>
      <c r="K581" s="441"/>
      <c r="L581" s="63">
        <f>+J581-K581+L580</f>
        <v>60484.050000000047</v>
      </c>
      <c r="M581" s="25"/>
    </row>
    <row r="582" spans="2:13" ht="11.25" customHeight="1" x14ac:dyDescent="0.2">
      <c r="B582" s="489"/>
      <c r="C582" s="490"/>
      <c r="D582" s="491"/>
      <c r="E582" s="492"/>
      <c r="F582" s="493"/>
      <c r="G582" s="496"/>
      <c r="H582" s="496"/>
      <c r="I582" s="496"/>
      <c r="J582" s="440"/>
      <c r="K582" s="441"/>
      <c r="L582" s="63">
        <f t="shared" si="43"/>
        <v>60484.050000000047</v>
      </c>
      <c r="M582" s="25"/>
    </row>
    <row r="583" spans="2:13" ht="11.25" customHeight="1" x14ac:dyDescent="0.2">
      <c r="B583" s="489"/>
      <c r="C583" s="491"/>
      <c r="D583" s="491"/>
      <c r="E583" s="492"/>
      <c r="F583" s="493"/>
      <c r="G583" s="496"/>
      <c r="H583" s="496"/>
      <c r="I583" s="496"/>
      <c r="J583" s="440"/>
      <c r="K583" s="441"/>
      <c r="L583" s="63">
        <f>+J583-K583+L582</f>
        <v>60484.050000000047</v>
      </c>
      <c r="M583" s="25"/>
    </row>
    <row r="584" spans="2:13" ht="11.25" customHeight="1" x14ac:dyDescent="0.2">
      <c r="B584" s="489"/>
      <c r="C584" s="491"/>
      <c r="D584" s="491"/>
      <c r="E584" s="492"/>
      <c r="F584" s="493"/>
      <c r="G584" s="477"/>
      <c r="H584" s="477"/>
      <c r="I584" s="477"/>
      <c r="J584" s="440"/>
      <c r="K584" s="441"/>
      <c r="L584" s="63">
        <f>+J584-K584+L583</f>
        <v>60484.050000000047</v>
      </c>
      <c r="M584" s="25"/>
    </row>
    <row r="585" spans="2:13" ht="11.25" customHeight="1" x14ac:dyDescent="0.2">
      <c r="B585" s="489"/>
      <c r="C585" s="491"/>
      <c r="D585" s="491"/>
      <c r="E585" s="492"/>
      <c r="F585" s="493"/>
      <c r="G585" s="477"/>
      <c r="H585" s="477"/>
      <c r="I585" s="477"/>
      <c r="J585" s="440"/>
      <c r="K585" s="441"/>
      <c r="L585" s="63">
        <f t="shared" si="43"/>
        <v>60484.050000000047</v>
      </c>
      <c r="M585" s="25"/>
    </row>
    <row r="586" spans="2:13" ht="11.25" customHeight="1" x14ac:dyDescent="0.2">
      <c r="B586" s="489"/>
      <c r="C586" s="490"/>
      <c r="D586" s="491"/>
      <c r="E586" s="492"/>
      <c r="F586" s="493"/>
      <c r="G586" s="477"/>
      <c r="H586" s="477"/>
      <c r="I586" s="477"/>
      <c r="J586" s="372"/>
      <c r="K586" s="61"/>
      <c r="L586" s="63">
        <f t="shared" si="43"/>
        <v>60484.050000000047</v>
      </c>
      <c r="M586" s="25"/>
    </row>
    <row r="587" spans="2:13" ht="11.25" customHeight="1" x14ac:dyDescent="0.2">
      <c r="B587" s="489"/>
      <c r="C587" s="491"/>
      <c r="D587" s="491"/>
      <c r="E587" s="492"/>
      <c r="F587" s="493"/>
      <c r="G587" s="477"/>
      <c r="H587" s="477"/>
      <c r="I587" s="477"/>
      <c r="J587" s="372"/>
      <c r="K587" s="12"/>
      <c r="L587" s="63">
        <f t="shared" si="43"/>
        <v>60484.050000000047</v>
      </c>
      <c r="M587" s="25"/>
    </row>
    <row r="588" spans="2:13" ht="11.25" customHeight="1" x14ac:dyDescent="0.2">
      <c r="B588" s="489"/>
      <c r="C588" s="490"/>
      <c r="D588" s="491"/>
      <c r="E588" s="492"/>
      <c r="F588" s="493"/>
      <c r="G588" s="497"/>
      <c r="H588" s="497"/>
      <c r="I588" s="497"/>
      <c r="J588" s="12"/>
      <c r="K588" s="12"/>
      <c r="L588" s="63">
        <f t="shared" si="43"/>
        <v>60484.050000000047</v>
      </c>
      <c r="M588" s="25"/>
    </row>
    <row r="589" spans="2:13" ht="11.25" customHeight="1" x14ac:dyDescent="0.2">
      <c r="B589" s="494"/>
      <c r="C589" s="490"/>
      <c r="D589" s="490"/>
      <c r="E589" s="492"/>
      <c r="F589" s="493"/>
      <c r="G589" s="485"/>
      <c r="H589" s="487"/>
      <c r="I589" s="487"/>
      <c r="J589" s="349"/>
      <c r="K589" s="70"/>
      <c r="L589" s="63">
        <f t="shared" si="43"/>
        <v>60484.050000000047</v>
      </c>
      <c r="M589" s="25"/>
    </row>
    <row r="590" spans="2:13" x14ac:dyDescent="0.2">
      <c r="B590" s="494"/>
      <c r="C590" s="490"/>
      <c r="D590" s="490"/>
      <c r="E590" s="492"/>
      <c r="F590" s="493"/>
      <c r="G590" s="485"/>
      <c r="H590" s="487"/>
      <c r="I590" s="487"/>
      <c r="J590" s="349"/>
      <c r="K590" s="70"/>
      <c r="L590" s="63">
        <f t="shared" si="43"/>
        <v>60484.050000000047</v>
      </c>
      <c r="M590" s="25"/>
    </row>
    <row r="591" spans="2:13" x14ac:dyDescent="0.2">
      <c r="B591" s="494"/>
      <c r="C591" s="490"/>
      <c r="D591" s="490"/>
      <c r="E591" s="492"/>
      <c r="F591" s="493"/>
      <c r="G591" s="485"/>
      <c r="H591" s="487"/>
      <c r="I591" s="487"/>
      <c r="J591" s="349"/>
      <c r="K591" s="70"/>
      <c r="L591" s="63"/>
      <c r="M591" s="25"/>
    </row>
    <row r="592" spans="2:13" ht="12.75" thickBot="1" x14ac:dyDescent="0.25">
      <c r="B592" s="64"/>
      <c r="C592" s="65"/>
      <c r="D592" s="65"/>
      <c r="E592" s="13"/>
      <c r="F592" s="13"/>
      <c r="G592" s="104"/>
      <c r="H592" s="84"/>
      <c r="I592" s="12"/>
      <c r="J592" s="12"/>
      <c r="K592" s="12"/>
      <c r="L592" s="63"/>
      <c r="M592" s="25"/>
    </row>
    <row r="593" spans="2:13" x14ac:dyDescent="0.2">
      <c r="B593" s="56"/>
      <c r="C593" s="57"/>
      <c r="D593" s="57"/>
      <c r="E593" s="5"/>
      <c r="F593" s="5"/>
      <c r="G593" s="85" t="s">
        <v>800</v>
      </c>
      <c r="H593" s="107">
        <f>SUM(H533:H576)</f>
        <v>0</v>
      </c>
      <c r="I593" s="105">
        <f>SUM(I533:I576)</f>
        <v>0</v>
      </c>
      <c r="J593" s="106">
        <f>SUM(J533:J576)</f>
        <v>0</v>
      </c>
      <c r="K593" s="106">
        <f>SUM(K581:K588)</f>
        <v>0</v>
      </c>
      <c r="L593" s="108"/>
      <c r="M593" s="25"/>
    </row>
    <row r="594" spans="2:13" ht="12.75" thickBot="1" x14ac:dyDescent="0.25">
      <c r="B594" s="71"/>
      <c r="C594" s="72"/>
      <c r="D594" s="72"/>
      <c r="E594" s="73"/>
      <c r="F594" s="73"/>
      <c r="G594" s="86" t="s">
        <v>13</v>
      </c>
      <c r="H594" s="100"/>
      <c r="I594" s="99"/>
      <c r="J594" s="87"/>
      <c r="K594" s="87"/>
      <c r="L594" s="88">
        <f>+J593-K593+L532</f>
        <v>60484.050000000047</v>
      </c>
      <c r="M594" s="25"/>
    </row>
    <row r="595" spans="2:13" x14ac:dyDescent="0.2">
      <c r="B595" s="25"/>
      <c r="H595" s="74"/>
      <c r="I595" s="25"/>
      <c r="L595" s="25"/>
      <c r="M595" s="25"/>
    </row>
    <row r="596" spans="2:13" ht="12" customHeight="1" x14ac:dyDescent="0.2">
      <c r="B596" s="544" t="s">
        <v>48</v>
      </c>
      <c r="C596" s="545"/>
      <c r="D596" s="545"/>
      <c r="E596" s="545"/>
      <c r="F596" s="545"/>
      <c r="G596" s="545"/>
      <c r="H596" s="545"/>
      <c r="I596" s="545"/>
      <c r="J596" s="545"/>
      <c r="K596" s="545"/>
      <c r="L596" s="546"/>
      <c r="M596" s="25"/>
    </row>
    <row r="597" spans="2:13" x14ac:dyDescent="0.2">
      <c r="B597" s="547" t="s">
        <v>815</v>
      </c>
      <c r="C597" s="548"/>
      <c r="D597" s="548"/>
      <c r="E597" s="548"/>
      <c r="F597" s="548"/>
      <c r="G597" s="548"/>
      <c r="H597" s="548"/>
      <c r="I597" s="548"/>
      <c r="J597" s="548"/>
      <c r="K597" s="548"/>
      <c r="L597" s="549"/>
      <c r="M597" s="25"/>
    </row>
    <row r="598" spans="2:13" x14ac:dyDescent="0.2">
      <c r="B598" s="550" t="s">
        <v>50</v>
      </c>
      <c r="C598" s="550"/>
      <c r="D598" s="551" t="s">
        <v>51</v>
      </c>
      <c r="E598" s="551"/>
      <c r="F598" s="551"/>
      <c r="G598" s="472"/>
      <c r="H598" s="472"/>
      <c r="I598" s="472"/>
      <c r="J598" s="472"/>
      <c r="K598" s="472"/>
      <c r="L598" s="473"/>
      <c r="M598" s="25"/>
    </row>
    <row r="599" spans="2:13" ht="24" x14ac:dyDescent="0.2">
      <c r="B599" s="56" t="s">
        <v>1</v>
      </c>
      <c r="C599" s="57" t="s">
        <v>2</v>
      </c>
      <c r="D599" s="57" t="s">
        <v>2</v>
      </c>
      <c r="E599" s="5" t="s">
        <v>3</v>
      </c>
      <c r="F599" s="5" t="s">
        <v>4</v>
      </c>
      <c r="G599" s="89" t="s">
        <v>6</v>
      </c>
      <c r="H599" s="83" t="s">
        <v>7</v>
      </c>
      <c r="I599" s="83" t="s">
        <v>52</v>
      </c>
      <c r="J599" s="83" t="s">
        <v>53</v>
      </c>
      <c r="K599" s="5" t="s">
        <v>10</v>
      </c>
      <c r="L599" s="5" t="s">
        <v>11</v>
      </c>
      <c r="M599" s="25"/>
    </row>
    <row r="600" spans="2:13" x14ac:dyDescent="0.2">
      <c r="B600" s="58"/>
      <c r="C600" s="59"/>
      <c r="D600" s="59"/>
      <c r="E600" s="13"/>
      <c r="F600" s="13"/>
      <c r="G600" s="24"/>
      <c r="H600" s="60"/>
      <c r="I600" s="61"/>
      <c r="J600" s="61"/>
      <c r="K600" s="61"/>
      <c r="L600" s="60">
        <f>L594</f>
        <v>60484.050000000047</v>
      </c>
      <c r="M600" s="25"/>
    </row>
    <row r="601" spans="2:13" x14ac:dyDescent="0.2">
      <c r="B601" s="461"/>
      <c r="C601" s="462"/>
      <c r="D601" s="463"/>
      <c r="E601" s="464"/>
      <c r="F601" s="464"/>
      <c r="G601" s="464"/>
      <c r="H601" s="465"/>
      <c r="I601" s="12">
        <f>H601*0.32</f>
        <v>0</v>
      </c>
      <c r="J601" s="12">
        <f>H601*0.68</f>
        <v>0</v>
      </c>
      <c r="K601" s="12"/>
      <c r="L601" s="63">
        <f>+J601-K601+L600</f>
        <v>60484.050000000047</v>
      </c>
      <c r="M601" s="25"/>
    </row>
    <row r="602" spans="2:13" x14ac:dyDescent="0.2">
      <c r="B602" s="461"/>
      <c r="C602" s="462"/>
      <c r="D602" s="463"/>
      <c r="E602" s="464"/>
      <c r="F602" s="464"/>
      <c r="G602" s="464"/>
      <c r="H602" s="465"/>
      <c r="I602" s="12">
        <f t="shared" ref="I602:I645" si="44">H602*0.32</f>
        <v>0</v>
      </c>
      <c r="J602" s="12">
        <f t="shared" ref="J602:J645" si="45">H602*0.68</f>
        <v>0</v>
      </c>
      <c r="K602" s="12"/>
      <c r="L602" s="63">
        <f t="shared" ref="L602:L611" si="46">+J602-K602+L601</f>
        <v>60484.050000000047</v>
      </c>
      <c r="M602" s="25"/>
    </row>
    <row r="603" spans="2:13" x14ac:dyDescent="0.2">
      <c r="B603" s="461"/>
      <c r="C603" s="462"/>
      <c r="D603" s="463"/>
      <c r="E603" s="464"/>
      <c r="F603" s="464"/>
      <c r="G603" s="464"/>
      <c r="H603" s="465"/>
      <c r="I603" s="12">
        <f t="shared" si="44"/>
        <v>0</v>
      </c>
      <c r="J603" s="12">
        <f t="shared" si="45"/>
        <v>0</v>
      </c>
      <c r="K603" s="12"/>
      <c r="L603" s="63">
        <f t="shared" si="46"/>
        <v>60484.050000000047</v>
      </c>
      <c r="M603" s="25"/>
    </row>
    <row r="604" spans="2:13" x14ac:dyDescent="0.2">
      <c r="B604" s="461"/>
      <c r="C604" s="462"/>
      <c r="D604" s="463"/>
      <c r="E604" s="464"/>
      <c r="F604" s="464"/>
      <c r="G604" s="464"/>
      <c r="H604" s="465"/>
      <c r="I604" s="12">
        <f t="shared" si="44"/>
        <v>0</v>
      </c>
      <c r="J604" s="12">
        <f t="shared" si="45"/>
        <v>0</v>
      </c>
      <c r="K604" s="12"/>
      <c r="L604" s="63">
        <f t="shared" si="46"/>
        <v>60484.050000000047</v>
      </c>
      <c r="M604" s="25"/>
    </row>
    <row r="605" spans="2:13" x14ac:dyDescent="0.2">
      <c r="B605" s="461"/>
      <c r="C605" s="462"/>
      <c r="D605" s="463"/>
      <c r="E605" s="464"/>
      <c r="F605" s="464"/>
      <c r="G605" s="464"/>
      <c r="H605" s="465"/>
      <c r="I605" s="12">
        <f t="shared" si="44"/>
        <v>0</v>
      </c>
      <c r="J605" s="12">
        <f t="shared" si="45"/>
        <v>0</v>
      </c>
      <c r="K605" s="12"/>
      <c r="L605" s="63">
        <f t="shared" si="46"/>
        <v>60484.050000000047</v>
      </c>
      <c r="M605" s="25"/>
    </row>
    <row r="606" spans="2:13" x14ac:dyDescent="0.2">
      <c r="B606" s="461"/>
      <c r="C606" s="462"/>
      <c r="D606" s="463"/>
      <c r="E606" s="464"/>
      <c r="F606" s="464"/>
      <c r="G606" s="464"/>
      <c r="H606" s="465"/>
      <c r="I606" s="12">
        <f t="shared" si="44"/>
        <v>0</v>
      </c>
      <c r="J606" s="12">
        <f t="shared" si="45"/>
        <v>0</v>
      </c>
      <c r="K606" s="12"/>
      <c r="L606" s="63">
        <f t="shared" si="46"/>
        <v>60484.050000000047</v>
      </c>
      <c r="M606" s="25"/>
    </row>
    <row r="607" spans="2:13" x14ac:dyDescent="0.2">
      <c r="B607" s="461"/>
      <c r="C607" s="462"/>
      <c r="D607" s="463"/>
      <c r="E607" s="464"/>
      <c r="F607" s="464"/>
      <c r="G607" s="464"/>
      <c r="H607" s="465"/>
      <c r="I607" s="12">
        <f t="shared" si="44"/>
        <v>0</v>
      </c>
      <c r="J607" s="12">
        <f t="shared" si="45"/>
        <v>0</v>
      </c>
      <c r="K607" s="12"/>
      <c r="L607" s="63">
        <f t="shared" si="46"/>
        <v>60484.050000000047</v>
      </c>
      <c r="M607" s="25"/>
    </row>
    <row r="608" spans="2:13" x14ac:dyDescent="0.2">
      <c r="B608" s="461"/>
      <c r="C608" s="462"/>
      <c r="D608" s="466"/>
      <c r="E608" s="464"/>
      <c r="F608" s="464"/>
      <c r="G608" s="464"/>
      <c r="H608" s="465"/>
      <c r="I608" s="12">
        <f t="shared" si="44"/>
        <v>0</v>
      </c>
      <c r="J608" s="12">
        <f t="shared" si="45"/>
        <v>0</v>
      </c>
      <c r="K608" s="12"/>
      <c r="L608" s="63">
        <f t="shared" si="46"/>
        <v>60484.050000000047</v>
      </c>
      <c r="M608" s="25"/>
    </row>
    <row r="609" spans="2:13" x14ac:dyDescent="0.2">
      <c r="B609" s="461"/>
      <c r="C609" s="462"/>
      <c r="D609" s="463"/>
      <c r="E609" s="464"/>
      <c r="F609" s="464"/>
      <c r="G609" s="464"/>
      <c r="H609" s="465"/>
      <c r="I609" s="12">
        <f t="shared" si="44"/>
        <v>0</v>
      </c>
      <c r="J609" s="12">
        <f t="shared" si="45"/>
        <v>0</v>
      </c>
      <c r="K609" s="12"/>
      <c r="L609" s="63">
        <f t="shared" si="46"/>
        <v>60484.050000000047</v>
      </c>
      <c r="M609" s="25"/>
    </row>
    <row r="610" spans="2:13" x14ac:dyDescent="0.2">
      <c r="B610" s="461"/>
      <c r="C610" s="462"/>
      <c r="D610" s="463"/>
      <c r="E610" s="464"/>
      <c r="F610" s="464"/>
      <c r="G610" s="464"/>
      <c r="H610" s="465"/>
      <c r="I610" s="12">
        <f t="shared" si="44"/>
        <v>0</v>
      </c>
      <c r="J610" s="12">
        <f t="shared" si="45"/>
        <v>0</v>
      </c>
      <c r="K610" s="12"/>
      <c r="L610" s="63">
        <f t="shared" si="46"/>
        <v>60484.050000000047</v>
      </c>
      <c r="M610" s="25"/>
    </row>
    <row r="611" spans="2:13" x14ac:dyDescent="0.2">
      <c r="B611" s="461"/>
      <c r="C611" s="462"/>
      <c r="D611" s="463"/>
      <c r="E611" s="464"/>
      <c r="F611" s="464"/>
      <c r="G611" s="464"/>
      <c r="H611" s="465"/>
      <c r="I611" s="12">
        <f t="shared" si="44"/>
        <v>0</v>
      </c>
      <c r="J611" s="12">
        <f t="shared" si="45"/>
        <v>0</v>
      </c>
      <c r="K611" s="12"/>
      <c r="L611" s="63">
        <f t="shared" si="46"/>
        <v>60484.050000000047</v>
      </c>
      <c r="M611" s="25"/>
    </row>
    <row r="612" spans="2:13" x14ac:dyDescent="0.2">
      <c r="B612" s="461"/>
      <c r="C612" s="462"/>
      <c r="D612" s="467"/>
      <c r="E612" s="468"/>
      <c r="F612" s="464"/>
      <c r="G612" s="464"/>
      <c r="H612" s="465"/>
      <c r="I612" s="12">
        <f t="shared" si="44"/>
        <v>0</v>
      </c>
      <c r="J612" s="12">
        <f t="shared" si="45"/>
        <v>0</v>
      </c>
      <c r="K612" s="12"/>
      <c r="L612" s="63">
        <f>+J612-K612+L611</f>
        <v>60484.050000000047</v>
      </c>
      <c r="M612" s="25"/>
    </row>
    <row r="613" spans="2:13" x14ac:dyDescent="0.2">
      <c r="B613" s="461"/>
      <c r="C613" s="462"/>
      <c r="D613" s="467"/>
      <c r="E613" s="468"/>
      <c r="F613" s="464"/>
      <c r="G613" s="464"/>
      <c r="H613" s="465"/>
      <c r="I613" s="12">
        <f t="shared" si="44"/>
        <v>0</v>
      </c>
      <c r="J613" s="12">
        <f t="shared" si="45"/>
        <v>0</v>
      </c>
      <c r="K613" s="12"/>
      <c r="L613" s="63">
        <f t="shared" ref="L613:L660" si="47">+J613-K613+L612</f>
        <v>60484.050000000047</v>
      </c>
      <c r="M613" s="25"/>
    </row>
    <row r="614" spans="2:13" x14ac:dyDescent="0.2">
      <c r="B614" s="461"/>
      <c r="C614" s="462"/>
      <c r="D614" s="467"/>
      <c r="E614" s="468"/>
      <c r="F614" s="464"/>
      <c r="G614" s="464"/>
      <c r="H614" s="465"/>
      <c r="I614" s="12">
        <f t="shared" si="44"/>
        <v>0</v>
      </c>
      <c r="J614" s="12">
        <f t="shared" si="45"/>
        <v>0</v>
      </c>
      <c r="K614" s="12"/>
      <c r="L614" s="63">
        <f t="shared" si="47"/>
        <v>60484.050000000047</v>
      </c>
      <c r="M614" s="25"/>
    </row>
    <row r="615" spans="2:13" x14ac:dyDescent="0.2">
      <c r="B615" s="461"/>
      <c r="C615" s="462"/>
      <c r="D615" s="467"/>
      <c r="E615" s="468"/>
      <c r="F615" s="464"/>
      <c r="G615" s="464"/>
      <c r="H615" s="465"/>
      <c r="I615" s="12">
        <f t="shared" si="44"/>
        <v>0</v>
      </c>
      <c r="J615" s="12">
        <f t="shared" si="45"/>
        <v>0</v>
      </c>
      <c r="K615" s="12"/>
      <c r="L615" s="63">
        <f t="shared" si="47"/>
        <v>60484.050000000047</v>
      </c>
      <c r="M615" s="25"/>
    </row>
    <row r="616" spans="2:13" x14ac:dyDescent="0.2">
      <c r="B616" s="461"/>
      <c r="C616" s="462"/>
      <c r="D616" s="467"/>
      <c r="E616" s="468"/>
      <c r="F616" s="464"/>
      <c r="G616" s="464"/>
      <c r="H616" s="465"/>
      <c r="I616" s="12">
        <f t="shared" si="44"/>
        <v>0</v>
      </c>
      <c r="J616" s="12">
        <f t="shared" si="45"/>
        <v>0</v>
      </c>
      <c r="K616" s="12"/>
      <c r="L616" s="63">
        <f t="shared" si="47"/>
        <v>60484.050000000047</v>
      </c>
      <c r="M616" s="25"/>
    </row>
    <row r="617" spans="2:13" x14ac:dyDescent="0.2">
      <c r="B617" s="461"/>
      <c r="C617" s="462"/>
      <c r="D617" s="467"/>
      <c r="E617" s="468"/>
      <c r="F617" s="464"/>
      <c r="G617" s="464"/>
      <c r="H617" s="465"/>
      <c r="I617" s="12">
        <f t="shared" si="44"/>
        <v>0</v>
      </c>
      <c r="J617" s="12">
        <f t="shared" si="45"/>
        <v>0</v>
      </c>
      <c r="K617" s="12"/>
      <c r="L617" s="63">
        <f t="shared" si="47"/>
        <v>60484.050000000047</v>
      </c>
      <c r="M617" s="25"/>
    </row>
    <row r="618" spans="2:13" x14ac:dyDescent="0.2">
      <c r="B618" s="461"/>
      <c r="C618" s="462"/>
      <c r="D618" s="467"/>
      <c r="E618" s="468"/>
      <c r="F618" s="464"/>
      <c r="G618" s="464"/>
      <c r="H618" s="465"/>
      <c r="I618" s="12">
        <f t="shared" si="44"/>
        <v>0</v>
      </c>
      <c r="J618" s="12">
        <f t="shared" si="45"/>
        <v>0</v>
      </c>
      <c r="K618" s="12"/>
      <c r="L618" s="63">
        <f t="shared" si="47"/>
        <v>60484.050000000047</v>
      </c>
      <c r="M618" s="25"/>
    </row>
    <row r="619" spans="2:13" x14ac:dyDescent="0.2">
      <c r="B619" s="461"/>
      <c r="C619" s="462"/>
      <c r="D619" s="467"/>
      <c r="E619" s="468"/>
      <c r="F619" s="464"/>
      <c r="G619" s="464"/>
      <c r="H619" s="465"/>
      <c r="I619" s="12">
        <f t="shared" si="44"/>
        <v>0</v>
      </c>
      <c r="J619" s="12">
        <f t="shared" si="45"/>
        <v>0</v>
      </c>
      <c r="K619" s="12"/>
      <c r="L619" s="63">
        <f t="shared" si="47"/>
        <v>60484.050000000047</v>
      </c>
      <c r="M619" s="25"/>
    </row>
    <row r="620" spans="2:13" x14ac:dyDescent="0.2">
      <c r="B620" s="461"/>
      <c r="C620" s="462"/>
      <c r="D620" s="467"/>
      <c r="E620" s="468"/>
      <c r="F620" s="464"/>
      <c r="G620" s="464"/>
      <c r="H620" s="465"/>
      <c r="I620" s="12">
        <f t="shared" si="44"/>
        <v>0</v>
      </c>
      <c r="J620" s="12">
        <f t="shared" si="45"/>
        <v>0</v>
      </c>
      <c r="K620" s="12"/>
      <c r="L620" s="63">
        <f t="shared" si="47"/>
        <v>60484.050000000047</v>
      </c>
      <c r="M620" s="25"/>
    </row>
    <row r="621" spans="2:13" x14ac:dyDescent="0.2">
      <c r="B621" s="461"/>
      <c r="C621" s="462"/>
      <c r="D621" s="467"/>
      <c r="E621" s="468"/>
      <c r="F621" s="464"/>
      <c r="G621" s="464"/>
      <c r="H621" s="465"/>
      <c r="I621" s="12">
        <f t="shared" si="44"/>
        <v>0</v>
      </c>
      <c r="J621" s="12">
        <f t="shared" si="45"/>
        <v>0</v>
      </c>
      <c r="K621" s="12"/>
      <c r="L621" s="63">
        <f t="shared" si="47"/>
        <v>60484.050000000047</v>
      </c>
      <c r="M621" s="25"/>
    </row>
    <row r="622" spans="2:13" x14ac:dyDescent="0.2">
      <c r="B622" s="461"/>
      <c r="C622" s="462"/>
      <c r="D622" s="467"/>
      <c r="E622" s="468"/>
      <c r="F622" s="464"/>
      <c r="G622" s="464"/>
      <c r="H622" s="465"/>
      <c r="I622" s="12">
        <f t="shared" si="44"/>
        <v>0</v>
      </c>
      <c r="J622" s="12">
        <f t="shared" si="45"/>
        <v>0</v>
      </c>
      <c r="K622" s="12"/>
      <c r="L622" s="63">
        <f t="shared" si="47"/>
        <v>60484.050000000047</v>
      </c>
      <c r="M622" s="25"/>
    </row>
    <row r="623" spans="2:13" x14ac:dyDescent="0.2">
      <c r="B623" s="461"/>
      <c r="C623" s="462"/>
      <c r="D623" s="467"/>
      <c r="E623" s="468"/>
      <c r="F623" s="464"/>
      <c r="G623" s="464"/>
      <c r="H623" s="465"/>
      <c r="I623" s="12">
        <f t="shared" si="44"/>
        <v>0</v>
      </c>
      <c r="J623" s="12">
        <f t="shared" si="45"/>
        <v>0</v>
      </c>
      <c r="K623" s="12"/>
      <c r="L623" s="63">
        <f t="shared" si="47"/>
        <v>60484.050000000047</v>
      </c>
      <c r="M623" s="25"/>
    </row>
    <row r="624" spans="2:13" x14ac:dyDescent="0.2">
      <c r="B624" s="461"/>
      <c r="C624" s="462"/>
      <c r="D624" s="467"/>
      <c r="E624" s="468"/>
      <c r="F624" s="464"/>
      <c r="G624" s="464"/>
      <c r="H624" s="465"/>
      <c r="I624" s="12">
        <f t="shared" si="44"/>
        <v>0</v>
      </c>
      <c r="J624" s="12">
        <f t="shared" si="45"/>
        <v>0</v>
      </c>
      <c r="K624" s="12"/>
      <c r="L624" s="63">
        <f t="shared" si="47"/>
        <v>60484.050000000047</v>
      </c>
      <c r="M624" s="25"/>
    </row>
    <row r="625" spans="2:13" x14ac:dyDescent="0.2">
      <c r="B625" s="110"/>
      <c r="C625" s="353"/>
      <c r="D625" s="65"/>
      <c r="E625" s="13"/>
      <c r="F625" s="15"/>
      <c r="G625" s="15"/>
      <c r="H625" s="112"/>
      <c r="I625" s="12">
        <f t="shared" si="44"/>
        <v>0</v>
      </c>
      <c r="J625" s="12">
        <f t="shared" si="45"/>
        <v>0</v>
      </c>
      <c r="K625" s="12"/>
      <c r="L625" s="63">
        <f t="shared" si="47"/>
        <v>60484.050000000047</v>
      </c>
      <c r="M625" s="25"/>
    </row>
    <row r="626" spans="2:13" x14ac:dyDescent="0.2">
      <c r="B626" s="110"/>
      <c r="C626" s="353"/>
      <c r="D626" s="65"/>
      <c r="E626" s="13"/>
      <c r="F626" s="15"/>
      <c r="G626" s="15"/>
      <c r="H626" s="112"/>
      <c r="I626" s="12">
        <f t="shared" si="44"/>
        <v>0</v>
      </c>
      <c r="J626" s="12">
        <f t="shared" si="45"/>
        <v>0</v>
      </c>
      <c r="K626" s="12"/>
      <c r="L626" s="63">
        <f t="shared" si="47"/>
        <v>60484.050000000047</v>
      </c>
      <c r="M626" s="25"/>
    </row>
    <row r="627" spans="2:13" x14ac:dyDescent="0.2">
      <c r="B627" s="110"/>
      <c r="C627" s="353"/>
      <c r="D627" s="65"/>
      <c r="E627" s="13"/>
      <c r="F627" s="15"/>
      <c r="G627" s="15"/>
      <c r="H627" s="112"/>
      <c r="I627" s="12">
        <f t="shared" si="44"/>
        <v>0</v>
      </c>
      <c r="J627" s="12">
        <f t="shared" si="45"/>
        <v>0</v>
      </c>
      <c r="K627" s="12"/>
      <c r="L627" s="63">
        <f t="shared" si="47"/>
        <v>60484.050000000047</v>
      </c>
      <c r="M627" s="25"/>
    </row>
    <row r="628" spans="2:13" x14ac:dyDescent="0.2">
      <c r="B628" s="110"/>
      <c r="C628" s="353"/>
      <c r="D628" s="65"/>
      <c r="E628" s="13"/>
      <c r="F628" s="15"/>
      <c r="G628" s="15"/>
      <c r="H628" s="112"/>
      <c r="I628" s="12">
        <f t="shared" si="44"/>
        <v>0</v>
      </c>
      <c r="J628" s="12">
        <f t="shared" si="45"/>
        <v>0</v>
      </c>
      <c r="K628" s="12"/>
      <c r="L628" s="63">
        <f t="shared" si="47"/>
        <v>60484.050000000047</v>
      </c>
      <c r="M628" s="25"/>
    </row>
    <row r="629" spans="2:13" x14ac:dyDescent="0.2">
      <c r="B629" s="453"/>
      <c r="C629" s="457"/>
      <c r="D629" s="459"/>
      <c r="E629" s="460"/>
      <c r="F629" s="455"/>
      <c r="G629" s="455"/>
      <c r="H629" s="456"/>
      <c r="I629" s="12">
        <f t="shared" si="44"/>
        <v>0</v>
      </c>
      <c r="J629" s="12">
        <f t="shared" si="45"/>
        <v>0</v>
      </c>
      <c r="K629" s="12"/>
      <c r="L629" s="63">
        <f t="shared" si="47"/>
        <v>60484.050000000047</v>
      </c>
      <c r="M629" s="25"/>
    </row>
    <row r="630" spans="2:13" x14ac:dyDescent="0.2">
      <c r="B630" s="453"/>
      <c r="C630" s="457"/>
      <c r="D630" s="459"/>
      <c r="E630" s="460"/>
      <c r="F630" s="455"/>
      <c r="G630" s="455"/>
      <c r="H630" s="456"/>
      <c r="I630" s="12">
        <f t="shared" si="44"/>
        <v>0</v>
      </c>
      <c r="J630" s="12">
        <f t="shared" si="45"/>
        <v>0</v>
      </c>
      <c r="K630" s="12"/>
      <c r="L630" s="63">
        <f t="shared" si="47"/>
        <v>60484.050000000047</v>
      </c>
      <c r="M630" s="25"/>
    </row>
    <row r="631" spans="2:13" x14ac:dyDescent="0.2">
      <c r="B631" s="110"/>
      <c r="C631" s="353"/>
      <c r="D631" s="65"/>
      <c r="E631" s="13"/>
      <c r="F631" s="15"/>
      <c r="G631" s="15"/>
      <c r="H631" s="112"/>
      <c r="I631" s="12">
        <f t="shared" si="44"/>
        <v>0</v>
      </c>
      <c r="J631" s="12">
        <f t="shared" si="45"/>
        <v>0</v>
      </c>
      <c r="K631" s="12"/>
      <c r="L631" s="63">
        <f t="shared" si="47"/>
        <v>60484.050000000047</v>
      </c>
      <c r="M631" s="25"/>
    </row>
    <row r="632" spans="2:13" x14ac:dyDescent="0.2">
      <c r="B632" s="110"/>
      <c r="C632" s="353"/>
      <c r="D632" s="65"/>
      <c r="E632" s="13"/>
      <c r="F632" s="15"/>
      <c r="G632" s="15"/>
      <c r="H632" s="112"/>
      <c r="I632" s="12">
        <f t="shared" si="44"/>
        <v>0</v>
      </c>
      <c r="J632" s="12">
        <f t="shared" si="45"/>
        <v>0</v>
      </c>
      <c r="K632" s="12"/>
      <c r="L632" s="63">
        <f t="shared" si="47"/>
        <v>60484.050000000047</v>
      </c>
      <c r="M632" s="25"/>
    </row>
    <row r="633" spans="2:13" x14ac:dyDescent="0.2">
      <c r="B633" s="110"/>
      <c r="C633" s="353"/>
      <c r="D633" s="65"/>
      <c r="E633" s="13"/>
      <c r="F633" s="15"/>
      <c r="G633" s="15"/>
      <c r="H633" s="112"/>
      <c r="I633" s="12">
        <f t="shared" si="44"/>
        <v>0</v>
      </c>
      <c r="J633" s="12">
        <f t="shared" si="45"/>
        <v>0</v>
      </c>
      <c r="K633" s="12"/>
      <c r="L633" s="63">
        <f t="shared" si="47"/>
        <v>60484.050000000047</v>
      </c>
      <c r="M633" s="25"/>
    </row>
    <row r="634" spans="2:13" x14ac:dyDescent="0.2">
      <c r="B634" s="110"/>
      <c r="C634" s="353"/>
      <c r="D634" s="65"/>
      <c r="E634" s="13"/>
      <c r="F634" s="15"/>
      <c r="G634" s="15"/>
      <c r="H634" s="112"/>
      <c r="I634" s="12">
        <f t="shared" si="44"/>
        <v>0</v>
      </c>
      <c r="J634" s="12">
        <f t="shared" si="45"/>
        <v>0</v>
      </c>
      <c r="K634" s="12"/>
      <c r="L634" s="63">
        <f t="shared" si="47"/>
        <v>60484.050000000047</v>
      </c>
      <c r="M634" s="25"/>
    </row>
    <row r="635" spans="2:13" x14ac:dyDescent="0.2">
      <c r="B635" s="110"/>
      <c r="C635" s="353"/>
      <c r="D635" s="65"/>
      <c r="E635" s="13"/>
      <c r="F635" s="15"/>
      <c r="G635" s="15"/>
      <c r="H635" s="112"/>
      <c r="I635" s="12">
        <f t="shared" si="44"/>
        <v>0</v>
      </c>
      <c r="J635" s="12">
        <f t="shared" si="45"/>
        <v>0</v>
      </c>
      <c r="K635" s="12"/>
      <c r="L635" s="63">
        <f t="shared" si="47"/>
        <v>60484.050000000047</v>
      </c>
      <c r="M635" s="25"/>
    </row>
    <row r="636" spans="2:13" x14ac:dyDescent="0.2">
      <c r="B636" s="110"/>
      <c r="C636" s="353"/>
      <c r="D636" s="65"/>
      <c r="E636" s="13"/>
      <c r="F636" s="15"/>
      <c r="G636" s="15"/>
      <c r="H636" s="112"/>
      <c r="I636" s="12">
        <f t="shared" si="44"/>
        <v>0</v>
      </c>
      <c r="J636" s="12">
        <f t="shared" si="45"/>
        <v>0</v>
      </c>
      <c r="K636" s="12"/>
      <c r="L636" s="63">
        <f t="shared" si="47"/>
        <v>60484.050000000047</v>
      </c>
      <c r="M636" s="25"/>
    </row>
    <row r="637" spans="2:13" x14ac:dyDescent="0.2">
      <c r="B637" s="110"/>
      <c r="C637" s="353"/>
      <c r="D637" s="65"/>
      <c r="E637" s="13"/>
      <c r="F637" s="15"/>
      <c r="G637" s="15"/>
      <c r="H637" s="112"/>
      <c r="I637" s="12">
        <f t="shared" si="44"/>
        <v>0</v>
      </c>
      <c r="J637" s="12">
        <f t="shared" si="45"/>
        <v>0</v>
      </c>
      <c r="K637" s="12"/>
      <c r="L637" s="63">
        <f t="shared" si="47"/>
        <v>60484.050000000047</v>
      </c>
      <c r="M637" s="25"/>
    </row>
    <row r="638" spans="2:13" x14ac:dyDescent="0.2">
      <c r="B638" s="110"/>
      <c r="C638" s="353"/>
      <c r="D638" s="65"/>
      <c r="E638" s="13"/>
      <c r="F638" s="15"/>
      <c r="G638" s="15"/>
      <c r="H638" s="112"/>
      <c r="I638" s="12">
        <f t="shared" si="44"/>
        <v>0</v>
      </c>
      <c r="J638" s="12">
        <f t="shared" si="45"/>
        <v>0</v>
      </c>
      <c r="K638" s="12"/>
      <c r="L638" s="63">
        <f t="shared" si="47"/>
        <v>60484.050000000047</v>
      </c>
      <c r="M638" s="25"/>
    </row>
    <row r="639" spans="2:13" x14ac:dyDescent="0.2">
      <c r="B639" s="110"/>
      <c r="C639" s="353"/>
      <c r="D639" s="65"/>
      <c r="E639" s="13"/>
      <c r="F639" s="15"/>
      <c r="G639" s="15"/>
      <c r="H639" s="112"/>
      <c r="I639" s="12">
        <f t="shared" si="44"/>
        <v>0</v>
      </c>
      <c r="J639" s="12">
        <f t="shared" si="45"/>
        <v>0</v>
      </c>
      <c r="K639" s="12"/>
      <c r="L639" s="63">
        <f t="shared" si="47"/>
        <v>60484.050000000047</v>
      </c>
      <c r="M639" s="25"/>
    </row>
    <row r="640" spans="2:13" x14ac:dyDescent="0.2">
      <c r="B640" s="110"/>
      <c r="C640" s="353"/>
      <c r="D640" s="65"/>
      <c r="E640" s="13"/>
      <c r="F640" s="15"/>
      <c r="G640" s="15"/>
      <c r="H640" s="112"/>
      <c r="I640" s="12">
        <f t="shared" si="44"/>
        <v>0</v>
      </c>
      <c r="J640" s="12">
        <f t="shared" si="45"/>
        <v>0</v>
      </c>
      <c r="K640" s="12"/>
      <c r="L640" s="63">
        <f t="shared" si="47"/>
        <v>60484.050000000047</v>
      </c>
      <c r="M640" s="25"/>
    </row>
    <row r="641" spans="2:13" x14ac:dyDescent="0.2">
      <c r="B641" s="110"/>
      <c r="C641" s="353"/>
      <c r="D641" s="65"/>
      <c r="E641" s="13"/>
      <c r="F641" s="15"/>
      <c r="G641" s="15"/>
      <c r="H641" s="112"/>
      <c r="I641" s="12">
        <f t="shared" si="44"/>
        <v>0</v>
      </c>
      <c r="J641" s="12">
        <f t="shared" si="45"/>
        <v>0</v>
      </c>
      <c r="K641" s="12"/>
      <c r="L641" s="63">
        <f t="shared" si="47"/>
        <v>60484.050000000047</v>
      </c>
      <c r="M641" s="25"/>
    </row>
    <row r="642" spans="2:13" x14ac:dyDescent="0.2">
      <c r="B642" s="110"/>
      <c r="C642" s="353"/>
      <c r="D642" s="65"/>
      <c r="E642" s="13"/>
      <c r="F642" s="15"/>
      <c r="G642" s="15"/>
      <c r="H642" s="112"/>
      <c r="I642" s="12">
        <f t="shared" si="44"/>
        <v>0</v>
      </c>
      <c r="J642" s="12">
        <f t="shared" si="45"/>
        <v>0</v>
      </c>
      <c r="K642" s="12"/>
      <c r="L642" s="63">
        <f t="shared" si="47"/>
        <v>60484.050000000047</v>
      </c>
      <c r="M642" s="25"/>
    </row>
    <row r="643" spans="2:13" x14ac:dyDescent="0.2">
      <c r="B643" s="110"/>
      <c r="C643" s="353"/>
      <c r="D643" s="65"/>
      <c r="E643" s="13"/>
      <c r="F643" s="15"/>
      <c r="G643" s="15"/>
      <c r="H643" s="112"/>
      <c r="I643" s="12">
        <f t="shared" si="44"/>
        <v>0</v>
      </c>
      <c r="J643" s="12">
        <f t="shared" si="45"/>
        <v>0</v>
      </c>
      <c r="K643" s="12"/>
      <c r="L643" s="63">
        <f t="shared" si="47"/>
        <v>60484.050000000047</v>
      </c>
      <c r="M643" s="25"/>
    </row>
    <row r="644" spans="2:13" x14ac:dyDescent="0.2">
      <c r="B644" s="110"/>
      <c r="C644" s="353"/>
      <c r="D644" s="65"/>
      <c r="E644" s="13"/>
      <c r="F644" s="15"/>
      <c r="G644" s="15"/>
      <c r="H644" s="112"/>
      <c r="I644" s="12">
        <f t="shared" si="44"/>
        <v>0</v>
      </c>
      <c r="J644" s="12">
        <f t="shared" si="45"/>
        <v>0</v>
      </c>
      <c r="K644" s="12"/>
      <c r="L644" s="63">
        <f t="shared" si="47"/>
        <v>60484.050000000047</v>
      </c>
      <c r="M644" s="25"/>
    </row>
    <row r="645" spans="2:13" x14ac:dyDescent="0.2">
      <c r="B645" s="110"/>
      <c r="C645" s="353"/>
      <c r="D645" s="65"/>
      <c r="E645" s="13"/>
      <c r="F645" s="15"/>
      <c r="G645" s="15"/>
      <c r="H645" s="112"/>
      <c r="I645" s="12">
        <f t="shared" si="44"/>
        <v>0</v>
      </c>
      <c r="J645" s="12">
        <f t="shared" si="45"/>
        <v>0</v>
      </c>
      <c r="K645" s="12"/>
      <c r="L645" s="63">
        <f t="shared" si="47"/>
        <v>60484.050000000047</v>
      </c>
      <c r="M645" s="25"/>
    </row>
    <row r="646" spans="2:13" x14ac:dyDescent="0.2">
      <c r="B646" s="110"/>
      <c r="C646" s="353"/>
      <c r="D646" s="65"/>
      <c r="E646" s="13"/>
      <c r="F646" s="15"/>
      <c r="G646" s="15"/>
      <c r="H646" s="112"/>
      <c r="I646" s="12"/>
      <c r="J646" s="12"/>
      <c r="K646" s="12"/>
      <c r="L646" s="63">
        <f t="shared" si="47"/>
        <v>60484.050000000047</v>
      </c>
      <c r="M646" s="25"/>
    </row>
    <row r="647" spans="2:13" x14ac:dyDescent="0.2">
      <c r="B647" s="110"/>
      <c r="C647" s="65"/>
      <c r="D647" s="65"/>
      <c r="E647" s="13"/>
      <c r="F647" s="15"/>
      <c r="G647" s="66"/>
      <c r="H647" s="112"/>
      <c r="I647" s="12"/>
      <c r="J647" s="12"/>
      <c r="K647" s="12"/>
      <c r="L647" s="63">
        <f t="shared" si="47"/>
        <v>60484.050000000047</v>
      </c>
      <c r="M647" s="25"/>
    </row>
    <row r="648" spans="2:13" x14ac:dyDescent="0.2">
      <c r="B648" s="547" t="s">
        <v>387</v>
      </c>
      <c r="C648" s="548"/>
      <c r="D648" s="548"/>
      <c r="E648" s="548"/>
      <c r="F648" s="548"/>
      <c r="G648" s="548"/>
      <c r="H648" s="548"/>
      <c r="I648" s="548"/>
      <c r="J648" s="548"/>
      <c r="K648" s="549"/>
      <c r="L648" s="63">
        <f t="shared" si="47"/>
        <v>60484.050000000047</v>
      </c>
      <c r="M648" s="25"/>
    </row>
    <row r="649" spans="2:13" x14ac:dyDescent="0.2">
      <c r="B649" s="552" t="s">
        <v>56</v>
      </c>
      <c r="C649" s="553"/>
      <c r="D649" s="554" t="s">
        <v>51</v>
      </c>
      <c r="E649" s="554"/>
      <c r="F649" s="554"/>
      <c r="G649" s="94"/>
      <c r="H649" s="95"/>
      <c r="I649" s="96"/>
      <c r="J649" s="96"/>
      <c r="K649" s="97"/>
      <c r="L649" s="63">
        <f t="shared" si="47"/>
        <v>60484.050000000047</v>
      </c>
      <c r="M649" s="25"/>
    </row>
    <row r="650" spans="2:13" x14ac:dyDescent="0.2">
      <c r="B650" s="91" t="s">
        <v>1</v>
      </c>
      <c r="C650" s="92" t="s">
        <v>57</v>
      </c>
      <c r="D650" s="92" t="s">
        <v>2</v>
      </c>
      <c r="E650" s="474" t="s">
        <v>3</v>
      </c>
      <c r="F650" s="474" t="s">
        <v>4</v>
      </c>
      <c r="G650" s="561" t="s">
        <v>58</v>
      </c>
      <c r="H650" s="562"/>
      <c r="I650" s="562"/>
      <c r="J650" s="563"/>
      <c r="K650" s="90"/>
      <c r="L650" s="63">
        <f t="shared" si="47"/>
        <v>60484.050000000047</v>
      </c>
      <c r="M650" s="25"/>
    </row>
    <row r="651" spans="2:13" x14ac:dyDescent="0.2">
      <c r="B651" s="489"/>
      <c r="C651" s="490"/>
      <c r="D651" s="491"/>
      <c r="E651" s="492"/>
      <c r="F651" s="493"/>
      <c r="G651" s="492"/>
      <c r="H651" s="492"/>
      <c r="I651" s="492"/>
      <c r="J651" s="12"/>
      <c r="K651" s="12"/>
      <c r="L651" s="63">
        <f t="shared" si="47"/>
        <v>60484.050000000047</v>
      </c>
      <c r="M651" s="25"/>
    </row>
    <row r="652" spans="2:13" ht="10.5" customHeight="1" x14ac:dyDescent="0.2">
      <c r="B652" s="489"/>
      <c r="C652" s="491"/>
      <c r="D652" s="491"/>
      <c r="E652" s="492"/>
      <c r="F652" s="493"/>
      <c r="G652" s="477"/>
      <c r="H652" s="477"/>
      <c r="I652" s="477"/>
      <c r="J652" s="440"/>
      <c r="K652" s="441"/>
      <c r="L652" s="63">
        <f t="shared" si="47"/>
        <v>60484.050000000047</v>
      </c>
      <c r="M652" s="25"/>
    </row>
    <row r="653" spans="2:13" ht="10.5" customHeight="1" x14ac:dyDescent="0.2">
      <c r="B653" s="489"/>
      <c r="C653" s="491"/>
      <c r="D653" s="491"/>
      <c r="E653" s="492"/>
      <c r="F653" s="493"/>
      <c r="G653" s="477"/>
      <c r="H653" s="477"/>
      <c r="I653" s="477"/>
      <c r="J653" s="440"/>
      <c r="K653" s="441"/>
      <c r="L653" s="63">
        <f t="shared" si="47"/>
        <v>60484.050000000047</v>
      </c>
      <c r="M653" s="25"/>
    </row>
    <row r="654" spans="2:13" ht="10.5" customHeight="1" x14ac:dyDescent="0.2">
      <c r="B654" s="489"/>
      <c r="C654" s="490"/>
      <c r="D654" s="491"/>
      <c r="E654" s="492"/>
      <c r="F654" s="493"/>
      <c r="G654" s="477"/>
      <c r="H654" s="477"/>
      <c r="I654" s="477"/>
      <c r="J654" s="372"/>
      <c r="K654" s="61"/>
      <c r="L654" s="63">
        <f t="shared" si="47"/>
        <v>60484.050000000047</v>
      </c>
      <c r="M654" s="25"/>
    </row>
    <row r="655" spans="2:13" ht="10.5" customHeight="1" x14ac:dyDescent="0.2">
      <c r="B655" s="489"/>
      <c r="C655" s="491"/>
      <c r="D655" s="491"/>
      <c r="E655" s="492"/>
      <c r="F655" s="493"/>
      <c r="G655" s="477"/>
      <c r="H655" s="477"/>
      <c r="I655" s="477"/>
      <c r="J655" s="372"/>
      <c r="K655" s="12"/>
      <c r="L655" s="63">
        <f t="shared" si="47"/>
        <v>60484.050000000047</v>
      </c>
      <c r="M655" s="25"/>
    </row>
    <row r="656" spans="2:13" ht="10.5" customHeight="1" x14ac:dyDescent="0.2">
      <c r="B656" s="494"/>
      <c r="C656" s="490"/>
      <c r="D656" s="490"/>
      <c r="E656" s="492"/>
      <c r="F656" s="493"/>
      <c r="G656" s="479"/>
      <c r="H656" s="479"/>
      <c r="I656" s="479"/>
      <c r="J656" s="349"/>
      <c r="K656" s="70"/>
      <c r="L656" s="63">
        <f t="shared" si="47"/>
        <v>60484.050000000047</v>
      </c>
      <c r="M656" s="25"/>
    </row>
    <row r="657" spans="2:13" ht="10.5" customHeight="1" x14ac:dyDescent="0.2">
      <c r="B657" s="494"/>
      <c r="C657" s="490"/>
      <c r="D657" s="490"/>
      <c r="E657" s="492"/>
      <c r="F657" s="493"/>
      <c r="G657" s="479"/>
      <c r="H657" s="479"/>
      <c r="I657" s="479"/>
      <c r="J657" s="349"/>
      <c r="K657" s="70"/>
      <c r="L657" s="63">
        <f t="shared" si="47"/>
        <v>60484.050000000047</v>
      </c>
      <c r="M657" s="25"/>
    </row>
    <row r="658" spans="2:13" ht="10.5" customHeight="1" x14ac:dyDescent="0.2">
      <c r="B658" s="494"/>
      <c r="C658" s="490"/>
      <c r="D658" s="490"/>
      <c r="E658" s="492"/>
      <c r="F658" s="493"/>
      <c r="G658" s="479"/>
      <c r="H658" s="479"/>
      <c r="I658" s="479"/>
      <c r="J658" s="349"/>
      <c r="K658" s="70"/>
      <c r="L658" s="63">
        <f t="shared" si="47"/>
        <v>60484.050000000047</v>
      </c>
      <c r="M658" s="25"/>
    </row>
    <row r="659" spans="2:13" ht="10.5" customHeight="1" x14ac:dyDescent="0.2">
      <c r="B659" s="494"/>
      <c r="C659" s="490"/>
      <c r="D659" s="490"/>
      <c r="E659" s="492"/>
      <c r="F659" s="493"/>
      <c r="G659" s="479"/>
      <c r="H659" s="479"/>
      <c r="I659" s="479"/>
      <c r="J659" s="349"/>
      <c r="K659" s="70"/>
      <c r="L659" s="63">
        <f t="shared" si="47"/>
        <v>60484.050000000047</v>
      </c>
      <c r="M659" s="25"/>
    </row>
    <row r="660" spans="2:13" ht="10.5" customHeight="1" x14ac:dyDescent="0.2">
      <c r="B660" s="494"/>
      <c r="C660" s="490"/>
      <c r="D660" s="490"/>
      <c r="E660" s="492"/>
      <c r="F660" s="493"/>
      <c r="G660" s="480"/>
      <c r="H660" s="480"/>
      <c r="I660" s="480"/>
      <c r="J660" s="349"/>
      <c r="K660" s="70"/>
      <c r="L660" s="63">
        <f t="shared" si="47"/>
        <v>60484.050000000047</v>
      </c>
      <c r="M660" s="25"/>
    </row>
    <row r="661" spans="2:13" ht="12.75" thickBot="1" x14ac:dyDescent="0.25">
      <c r="B661" s="64"/>
      <c r="C661" s="65"/>
      <c r="D661" s="65"/>
      <c r="E661" s="13"/>
      <c r="F661" s="13"/>
      <c r="G661" s="104"/>
      <c r="H661" s="84"/>
      <c r="I661" s="12"/>
      <c r="J661" s="12"/>
      <c r="K661" s="12"/>
      <c r="L661" s="63"/>
      <c r="M661" s="25"/>
    </row>
    <row r="662" spans="2:13" x14ac:dyDescent="0.2">
      <c r="B662" s="56"/>
      <c r="C662" s="57"/>
      <c r="D662" s="57"/>
      <c r="E662" s="5"/>
      <c r="F662" s="5"/>
      <c r="G662" s="85" t="s">
        <v>816</v>
      </c>
      <c r="H662" s="107">
        <f>SUM(H601:H646)</f>
        <v>0</v>
      </c>
      <c r="I662" s="105">
        <f>SUM(I601:I646)</f>
        <v>0</v>
      </c>
      <c r="J662" s="106">
        <f>SUM(J601:J646)</f>
        <v>0</v>
      </c>
      <c r="K662" s="106">
        <f>SUM(K651:K660)</f>
        <v>0</v>
      </c>
      <c r="L662" s="108"/>
      <c r="M662" s="25"/>
    </row>
    <row r="663" spans="2:13" ht="12.75" thickBot="1" x14ac:dyDescent="0.25">
      <c r="B663" s="71"/>
      <c r="C663" s="72"/>
      <c r="D663" s="72"/>
      <c r="E663" s="73"/>
      <c r="F663" s="73"/>
      <c r="G663" s="86" t="s">
        <v>13</v>
      </c>
      <c r="H663" s="100"/>
      <c r="I663" s="99"/>
      <c r="J663" s="87"/>
      <c r="K663" s="87"/>
      <c r="L663" s="88">
        <f>+J662-K662+L600</f>
        <v>60484.050000000047</v>
      </c>
      <c r="M663" s="25"/>
    </row>
    <row r="664" spans="2:13" x14ac:dyDescent="0.2">
      <c r="B664" s="25"/>
      <c r="H664" s="74"/>
      <c r="I664" s="25"/>
      <c r="L664" s="25"/>
      <c r="M664" s="25"/>
    </row>
    <row r="665" spans="2:13" ht="12" customHeight="1" x14ac:dyDescent="0.2">
      <c r="B665" s="544" t="s">
        <v>48</v>
      </c>
      <c r="C665" s="545"/>
      <c r="D665" s="545"/>
      <c r="E665" s="545"/>
      <c r="F665" s="545"/>
      <c r="G665" s="545"/>
      <c r="H665" s="545"/>
      <c r="I665" s="545"/>
      <c r="J665" s="545"/>
      <c r="K665" s="545"/>
      <c r="L665" s="546"/>
      <c r="M665" s="25"/>
    </row>
    <row r="666" spans="2:13" x14ac:dyDescent="0.2">
      <c r="B666" s="547" t="s">
        <v>669</v>
      </c>
      <c r="C666" s="548"/>
      <c r="D666" s="548"/>
      <c r="E666" s="548"/>
      <c r="F666" s="548"/>
      <c r="G666" s="548"/>
      <c r="H666" s="548"/>
      <c r="I666" s="548"/>
      <c r="J666" s="548"/>
      <c r="K666" s="548"/>
      <c r="L666" s="549"/>
      <c r="M666" s="25"/>
    </row>
    <row r="667" spans="2:13" x14ac:dyDescent="0.2">
      <c r="B667" s="550" t="s">
        <v>50</v>
      </c>
      <c r="C667" s="550"/>
      <c r="D667" s="551" t="s">
        <v>51</v>
      </c>
      <c r="E667" s="551"/>
      <c r="F667" s="551"/>
      <c r="G667" s="472"/>
      <c r="H667" s="472"/>
      <c r="I667" s="472"/>
      <c r="J667" s="472"/>
      <c r="K667" s="472"/>
      <c r="L667" s="473"/>
      <c r="M667" s="25"/>
    </row>
    <row r="668" spans="2:13" ht="24" x14ac:dyDescent="0.2">
      <c r="B668" s="56" t="s">
        <v>1</v>
      </c>
      <c r="C668" s="57" t="s">
        <v>2</v>
      </c>
      <c r="D668" s="57" t="s">
        <v>2</v>
      </c>
      <c r="E668" s="5" t="s">
        <v>3</v>
      </c>
      <c r="F668" s="5" t="s">
        <v>4</v>
      </c>
      <c r="G668" s="89" t="s">
        <v>6</v>
      </c>
      <c r="H668" s="83" t="s">
        <v>7</v>
      </c>
      <c r="I668" s="83" t="s">
        <v>52</v>
      </c>
      <c r="J668" s="83" t="s">
        <v>53</v>
      </c>
      <c r="K668" s="5" t="s">
        <v>10</v>
      </c>
      <c r="L668" s="5" t="s">
        <v>11</v>
      </c>
      <c r="M668" s="25"/>
    </row>
    <row r="669" spans="2:13" x14ac:dyDescent="0.2">
      <c r="B669" s="58"/>
      <c r="C669" s="59"/>
      <c r="D669" s="59"/>
      <c r="E669" s="13"/>
      <c r="F669" s="13"/>
      <c r="G669" s="24"/>
      <c r="H669" s="60"/>
      <c r="I669" s="61"/>
      <c r="J669" s="61"/>
      <c r="K669" s="61"/>
      <c r="L669" s="60">
        <f>L663</f>
        <v>60484.050000000047</v>
      </c>
      <c r="M669" s="25"/>
    </row>
    <row r="670" spans="2:13" x14ac:dyDescent="0.2">
      <c r="B670" s="110"/>
      <c r="C670" s="462"/>
      <c r="D670" s="11"/>
      <c r="E670" s="15"/>
      <c r="F670" s="15"/>
      <c r="G670" s="15"/>
      <c r="H670" s="112"/>
      <c r="I670" s="12">
        <f>H670*0.32</f>
        <v>0</v>
      </c>
      <c r="J670" s="12">
        <f>H670*0.68</f>
        <v>0</v>
      </c>
      <c r="K670" s="12"/>
      <c r="L670" s="63">
        <f>+J670-K670+L669</f>
        <v>60484.050000000047</v>
      </c>
      <c r="M670" s="25"/>
    </row>
    <row r="671" spans="2:13" x14ac:dyDescent="0.2">
      <c r="B671" s="110"/>
      <c r="C671" s="462"/>
      <c r="D671" s="11"/>
      <c r="E671" s="15"/>
      <c r="F671" s="15"/>
      <c r="G671" s="15"/>
      <c r="H671" s="112"/>
      <c r="I671" s="12">
        <f t="shared" ref="I671:I701" si="48">H671*0.32</f>
        <v>0</v>
      </c>
      <c r="J671" s="12">
        <f t="shared" ref="J671:J701" si="49">H671*0.68</f>
        <v>0</v>
      </c>
      <c r="K671" s="12"/>
      <c r="L671" s="63">
        <f t="shared" ref="L671:L680" si="50">+J671-K671+L670</f>
        <v>60484.050000000047</v>
      </c>
      <c r="M671" s="25"/>
    </row>
    <row r="672" spans="2:13" x14ac:dyDescent="0.2">
      <c r="B672" s="110"/>
      <c r="C672" s="462"/>
      <c r="D672" s="11"/>
      <c r="E672" s="15"/>
      <c r="F672" s="15"/>
      <c r="G672" s="15"/>
      <c r="H672" s="112"/>
      <c r="I672" s="12">
        <f t="shared" si="48"/>
        <v>0</v>
      </c>
      <c r="J672" s="12">
        <f t="shared" si="49"/>
        <v>0</v>
      </c>
      <c r="K672" s="12"/>
      <c r="L672" s="63">
        <f t="shared" si="50"/>
        <v>60484.050000000047</v>
      </c>
      <c r="M672" s="25"/>
    </row>
    <row r="673" spans="2:13" x14ac:dyDescent="0.2">
      <c r="B673" s="110"/>
      <c r="C673" s="462"/>
      <c r="D673" s="11"/>
      <c r="E673" s="15"/>
      <c r="F673" s="15"/>
      <c r="G673" s="15"/>
      <c r="H673" s="112"/>
      <c r="I673" s="12">
        <f t="shared" si="48"/>
        <v>0</v>
      </c>
      <c r="J673" s="12">
        <f t="shared" si="49"/>
        <v>0</v>
      </c>
      <c r="K673" s="12"/>
      <c r="L673" s="63">
        <f t="shared" si="50"/>
        <v>60484.050000000047</v>
      </c>
      <c r="M673" s="25"/>
    </row>
    <row r="674" spans="2:13" x14ac:dyDescent="0.2">
      <c r="B674" s="110"/>
      <c r="C674" s="462"/>
      <c r="D674" s="11"/>
      <c r="E674" s="15"/>
      <c r="F674" s="15"/>
      <c r="G674" s="15"/>
      <c r="H674" s="112"/>
      <c r="I674" s="12">
        <f t="shared" si="48"/>
        <v>0</v>
      </c>
      <c r="J674" s="12">
        <f t="shared" si="49"/>
        <v>0</v>
      </c>
      <c r="K674" s="12"/>
      <c r="L674" s="63">
        <f t="shared" si="50"/>
        <v>60484.050000000047</v>
      </c>
      <c r="M674" s="25"/>
    </row>
    <row r="675" spans="2:13" x14ac:dyDescent="0.2">
      <c r="B675" s="110"/>
      <c r="C675" s="462"/>
      <c r="D675" s="11"/>
      <c r="E675" s="15"/>
      <c r="F675" s="15"/>
      <c r="G675" s="15"/>
      <c r="H675" s="112"/>
      <c r="I675" s="12">
        <f t="shared" si="48"/>
        <v>0</v>
      </c>
      <c r="J675" s="12">
        <f t="shared" si="49"/>
        <v>0</v>
      </c>
      <c r="K675" s="12"/>
      <c r="L675" s="63">
        <f t="shared" si="50"/>
        <v>60484.050000000047</v>
      </c>
      <c r="M675" s="25"/>
    </row>
    <row r="676" spans="2:13" x14ac:dyDescent="0.2">
      <c r="B676" s="110"/>
      <c r="C676" s="462"/>
      <c r="D676" s="11"/>
      <c r="E676" s="15"/>
      <c r="F676" s="15"/>
      <c r="G676" s="15"/>
      <c r="H676" s="112"/>
      <c r="I676" s="12">
        <f t="shared" si="48"/>
        <v>0</v>
      </c>
      <c r="J676" s="12">
        <f t="shared" si="49"/>
        <v>0</v>
      </c>
      <c r="K676" s="12"/>
      <c r="L676" s="63">
        <f t="shared" si="50"/>
        <v>60484.050000000047</v>
      </c>
      <c r="M676" s="25"/>
    </row>
    <row r="677" spans="2:13" x14ac:dyDescent="0.2">
      <c r="B677" s="110"/>
      <c r="C677" s="462"/>
      <c r="D677" s="77"/>
      <c r="E677" s="15"/>
      <c r="F677" s="15"/>
      <c r="G677" s="15"/>
      <c r="H677" s="112"/>
      <c r="I677" s="12">
        <f t="shared" si="48"/>
        <v>0</v>
      </c>
      <c r="J677" s="12">
        <f t="shared" si="49"/>
        <v>0</v>
      </c>
      <c r="K677" s="12"/>
      <c r="L677" s="63">
        <f t="shared" si="50"/>
        <v>60484.050000000047</v>
      </c>
      <c r="M677" s="25"/>
    </row>
    <row r="678" spans="2:13" x14ac:dyDescent="0.2">
      <c r="B678" s="110"/>
      <c r="C678" s="462"/>
      <c r="D678" s="11"/>
      <c r="E678" s="15"/>
      <c r="F678" s="15"/>
      <c r="G678" s="15"/>
      <c r="H678" s="112"/>
      <c r="I678" s="12">
        <f t="shared" si="48"/>
        <v>0</v>
      </c>
      <c r="J678" s="12">
        <f t="shared" si="49"/>
        <v>0</v>
      </c>
      <c r="K678" s="12"/>
      <c r="L678" s="63">
        <f t="shared" si="50"/>
        <v>60484.050000000047</v>
      </c>
      <c r="M678" s="25"/>
    </row>
    <row r="679" spans="2:13" x14ac:dyDescent="0.2">
      <c r="B679" s="110"/>
      <c r="C679" s="462"/>
      <c r="D679" s="11"/>
      <c r="E679" s="15"/>
      <c r="F679" s="15"/>
      <c r="G679" s="15"/>
      <c r="H679" s="112"/>
      <c r="I679" s="12">
        <f t="shared" si="48"/>
        <v>0</v>
      </c>
      <c r="J679" s="12">
        <f t="shared" si="49"/>
        <v>0</v>
      </c>
      <c r="K679" s="12"/>
      <c r="L679" s="63">
        <f t="shared" si="50"/>
        <v>60484.050000000047</v>
      </c>
      <c r="M679" s="25"/>
    </row>
    <row r="680" spans="2:13" x14ac:dyDescent="0.2">
      <c r="B680" s="110"/>
      <c r="C680" s="462"/>
      <c r="D680" s="11"/>
      <c r="E680" s="15"/>
      <c r="F680" s="15"/>
      <c r="G680" s="15"/>
      <c r="H680" s="112"/>
      <c r="I680" s="12">
        <f t="shared" si="48"/>
        <v>0</v>
      </c>
      <c r="J680" s="12">
        <f t="shared" si="49"/>
        <v>0</v>
      </c>
      <c r="K680" s="12"/>
      <c r="L680" s="63">
        <f t="shared" si="50"/>
        <v>60484.050000000047</v>
      </c>
      <c r="M680" s="25"/>
    </row>
    <row r="681" spans="2:13" x14ac:dyDescent="0.2">
      <c r="B681" s="110"/>
      <c r="C681" s="462"/>
      <c r="D681" s="65"/>
      <c r="E681" s="13"/>
      <c r="F681" s="15"/>
      <c r="G681" s="15"/>
      <c r="H681" s="112"/>
      <c r="I681" s="12">
        <f t="shared" si="48"/>
        <v>0</v>
      </c>
      <c r="J681" s="12">
        <f t="shared" si="49"/>
        <v>0</v>
      </c>
      <c r="K681" s="12"/>
      <c r="L681" s="63">
        <f>+J681-K681+L680</f>
        <v>60484.050000000047</v>
      </c>
      <c r="M681" s="25"/>
    </row>
    <row r="682" spans="2:13" x14ac:dyDescent="0.2">
      <c r="B682" s="110"/>
      <c r="C682" s="462"/>
      <c r="D682" s="65"/>
      <c r="E682" s="13"/>
      <c r="F682" s="15"/>
      <c r="G682" s="15"/>
      <c r="H682" s="112"/>
      <c r="I682" s="12">
        <f t="shared" si="48"/>
        <v>0</v>
      </c>
      <c r="J682" s="12">
        <f t="shared" si="49"/>
        <v>0</v>
      </c>
      <c r="K682" s="12"/>
      <c r="L682" s="63">
        <f t="shared" ref="L682:L725" si="51">+J682-K682+L681</f>
        <v>60484.050000000047</v>
      </c>
      <c r="M682" s="25"/>
    </row>
    <row r="683" spans="2:13" x14ac:dyDescent="0.2">
      <c r="B683" s="110"/>
      <c r="C683" s="462"/>
      <c r="D683" s="65"/>
      <c r="E683" s="13"/>
      <c r="F683" s="15"/>
      <c r="G683" s="15"/>
      <c r="H683" s="112"/>
      <c r="I683" s="12">
        <f t="shared" si="48"/>
        <v>0</v>
      </c>
      <c r="J683" s="12">
        <f t="shared" si="49"/>
        <v>0</v>
      </c>
      <c r="K683" s="12"/>
      <c r="L683" s="63">
        <f t="shared" si="51"/>
        <v>60484.050000000047</v>
      </c>
      <c r="M683" s="25"/>
    </row>
    <row r="684" spans="2:13" x14ac:dyDescent="0.2">
      <c r="B684" s="110"/>
      <c r="C684" s="462"/>
      <c r="D684" s="65"/>
      <c r="E684" s="13"/>
      <c r="F684" s="15"/>
      <c r="G684" s="15"/>
      <c r="H684" s="112"/>
      <c r="I684" s="12">
        <f t="shared" si="48"/>
        <v>0</v>
      </c>
      <c r="J684" s="12">
        <f t="shared" si="49"/>
        <v>0</v>
      </c>
      <c r="K684" s="12"/>
      <c r="L684" s="63">
        <f t="shared" si="51"/>
        <v>60484.050000000047</v>
      </c>
      <c r="M684" s="25"/>
    </row>
    <row r="685" spans="2:13" x14ac:dyDescent="0.2">
      <c r="B685" s="110"/>
      <c r="C685" s="353"/>
      <c r="D685" s="65"/>
      <c r="E685" s="13"/>
      <c r="F685" s="15"/>
      <c r="G685" s="15"/>
      <c r="H685" s="112"/>
      <c r="I685" s="12">
        <f t="shared" si="48"/>
        <v>0</v>
      </c>
      <c r="J685" s="12">
        <f t="shared" si="49"/>
        <v>0</v>
      </c>
      <c r="K685" s="12"/>
      <c r="L685" s="63">
        <f t="shared" si="51"/>
        <v>60484.050000000047</v>
      </c>
      <c r="M685" s="25"/>
    </row>
    <row r="686" spans="2:13" x14ac:dyDescent="0.2">
      <c r="B686" s="110"/>
      <c r="C686" s="353"/>
      <c r="D686" s="65"/>
      <c r="E686" s="13"/>
      <c r="F686" s="15"/>
      <c r="G686" s="15"/>
      <c r="H686" s="112"/>
      <c r="I686" s="12">
        <f t="shared" si="48"/>
        <v>0</v>
      </c>
      <c r="J686" s="12">
        <f t="shared" si="49"/>
        <v>0</v>
      </c>
      <c r="K686" s="12"/>
      <c r="L686" s="63">
        <f t="shared" si="51"/>
        <v>60484.050000000047</v>
      </c>
      <c r="M686" s="25"/>
    </row>
    <row r="687" spans="2:13" x14ac:dyDescent="0.2">
      <c r="B687" s="110"/>
      <c r="C687" s="353"/>
      <c r="D687" s="65"/>
      <c r="E687" s="13"/>
      <c r="F687" s="15"/>
      <c r="G687" s="15"/>
      <c r="H687" s="112"/>
      <c r="I687" s="12">
        <f t="shared" si="48"/>
        <v>0</v>
      </c>
      <c r="J687" s="12">
        <f t="shared" si="49"/>
        <v>0</v>
      </c>
      <c r="K687" s="12"/>
      <c r="L687" s="63">
        <f t="shared" si="51"/>
        <v>60484.050000000047</v>
      </c>
      <c r="M687" s="25"/>
    </row>
    <row r="688" spans="2:13" x14ac:dyDescent="0.2">
      <c r="B688" s="110"/>
      <c r="C688" s="353"/>
      <c r="D688" s="65"/>
      <c r="E688" s="13"/>
      <c r="F688" s="15"/>
      <c r="G688" s="15"/>
      <c r="H688" s="112"/>
      <c r="I688" s="12">
        <f t="shared" si="48"/>
        <v>0</v>
      </c>
      <c r="J688" s="12">
        <f t="shared" si="49"/>
        <v>0</v>
      </c>
      <c r="K688" s="12"/>
      <c r="L688" s="63">
        <f t="shared" si="51"/>
        <v>60484.050000000047</v>
      </c>
      <c r="M688" s="25"/>
    </row>
    <row r="689" spans="2:13" x14ac:dyDescent="0.2">
      <c r="B689" s="110"/>
      <c r="C689" s="353"/>
      <c r="D689" s="65"/>
      <c r="E689" s="13"/>
      <c r="F689" s="15"/>
      <c r="G689" s="15"/>
      <c r="H689" s="112"/>
      <c r="I689" s="12">
        <f t="shared" si="48"/>
        <v>0</v>
      </c>
      <c r="J689" s="12">
        <f t="shared" si="49"/>
        <v>0</v>
      </c>
      <c r="K689" s="12"/>
      <c r="L689" s="63">
        <f t="shared" si="51"/>
        <v>60484.050000000047</v>
      </c>
      <c r="M689" s="25"/>
    </row>
    <row r="690" spans="2:13" x14ac:dyDescent="0.2">
      <c r="B690" s="110"/>
      <c r="C690" s="353"/>
      <c r="D690" s="65"/>
      <c r="E690" s="13"/>
      <c r="F690" s="15"/>
      <c r="G690" s="15"/>
      <c r="H690" s="112"/>
      <c r="I690" s="12">
        <f t="shared" si="48"/>
        <v>0</v>
      </c>
      <c r="J690" s="12">
        <f t="shared" si="49"/>
        <v>0</v>
      </c>
      <c r="K690" s="12"/>
      <c r="L690" s="63">
        <f t="shared" si="51"/>
        <v>60484.050000000047</v>
      </c>
      <c r="M690" s="25"/>
    </row>
    <row r="691" spans="2:13" x14ac:dyDescent="0.2">
      <c r="B691" s="453"/>
      <c r="C691" s="457"/>
      <c r="D691" s="459"/>
      <c r="E691" s="460"/>
      <c r="F691" s="455"/>
      <c r="G691" s="455"/>
      <c r="H691" s="456"/>
      <c r="I691" s="12">
        <f t="shared" si="48"/>
        <v>0</v>
      </c>
      <c r="J691" s="12">
        <f t="shared" si="49"/>
        <v>0</v>
      </c>
      <c r="K691" s="12"/>
      <c r="L691" s="63">
        <f t="shared" si="51"/>
        <v>60484.050000000047</v>
      </c>
      <c r="M691" s="25"/>
    </row>
    <row r="692" spans="2:13" x14ac:dyDescent="0.2">
      <c r="B692" s="110"/>
      <c r="C692" s="353"/>
      <c r="D692" s="65"/>
      <c r="E692" s="460"/>
      <c r="F692" s="455"/>
      <c r="G692" s="455"/>
      <c r="H692" s="456"/>
      <c r="I692" s="12">
        <f t="shared" si="48"/>
        <v>0</v>
      </c>
      <c r="J692" s="12">
        <f t="shared" si="49"/>
        <v>0</v>
      </c>
      <c r="K692" s="12"/>
      <c r="L692" s="63">
        <f t="shared" si="51"/>
        <v>60484.050000000047</v>
      </c>
      <c r="M692" s="25"/>
    </row>
    <row r="693" spans="2:13" x14ac:dyDescent="0.2">
      <c r="B693" s="110"/>
      <c r="C693" s="353"/>
      <c r="D693" s="65"/>
      <c r="E693" s="13"/>
      <c r="F693" s="15"/>
      <c r="G693" s="15"/>
      <c r="H693" s="112"/>
      <c r="I693" s="12">
        <f t="shared" si="48"/>
        <v>0</v>
      </c>
      <c r="J693" s="12">
        <f t="shared" si="49"/>
        <v>0</v>
      </c>
      <c r="K693" s="12"/>
      <c r="L693" s="63">
        <f t="shared" si="51"/>
        <v>60484.050000000047</v>
      </c>
      <c r="M693" s="25"/>
    </row>
    <row r="694" spans="2:13" x14ac:dyDescent="0.2">
      <c r="B694" s="110"/>
      <c r="C694" s="353"/>
      <c r="D694" s="65"/>
      <c r="E694" s="13"/>
      <c r="F694" s="15"/>
      <c r="G694" s="15"/>
      <c r="H694" s="112"/>
      <c r="I694" s="12">
        <f t="shared" si="48"/>
        <v>0</v>
      </c>
      <c r="J694" s="12">
        <f t="shared" si="49"/>
        <v>0</v>
      </c>
      <c r="K694" s="12"/>
      <c r="L694" s="63">
        <f t="shared" si="51"/>
        <v>60484.050000000047</v>
      </c>
      <c r="M694" s="25"/>
    </row>
    <row r="695" spans="2:13" x14ac:dyDescent="0.2">
      <c r="B695" s="110"/>
      <c r="C695" s="353"/>
      <c r="D695" s="65"/>
      <c r="E695" s="13"/>
      <c r="F695" s="15"/>
      <c r="G695" s="15"/>
      <c r="H695" s="112"/>
      <c r="I695" s="12">
        <f t="shared" si="48"/>
        <v>0</v>
      </c>
      <c r="J695" s="12">
        <f t="shared" si="49"/>
        <v>0</v>
      </c>
      <c r="K695" s="12"/>
      <c r="L695" s="63">
        <f t="shared" si="51"/>
        <v>60484.050000000047</v>
      </c>
      <c r="M695" s="25"/>
    </row>
    <row r="696" spans="2:13" x14ac:dyDescent="0.2">
      <c r="B696" s="110"/>
      <c r="C696" s="353"/>
      <c r="D696" s="65"/>
      <c r="E696" s="13"/>
      <c r="F696" s="15"/>
      <c r="G696" s="15"/>
      <c r="H696" s="112"/>
      <c r="I696" s="12">
        <f t="shared" si="48"/>
        <v>0</v>
      </c>
      <c r="J696" s="12">
        <f t="shared" si="49"/>
        <v>0</v>
      </c>
      <c r="K696" s="12"/>
      <c r="L696" s="63">
        <f t="shared" si="51"/>
        <v>60484.050000000047</v>
      </c>
      <c r="M696" s="25"/>
    </row>
    <row r="697" spans="2:13" x14ac:dyDescent="0.2">
      <c r="B697" s="110"/>
      <c r="C697" s="353"/>
      <c r="D697" s="65"/>
      <c r="E697" s="13"/>
      <c r="F697" s="15"/>
      <c r="G697" s="15"/>
      <c r="H697" s="112"/>
      <c r="I697" s="12">
        <f t="shared" si="48"/>
        <v>0</v>
      </c>
      <c r="J697" s="12">
        <f t="shared" si="49"/>
        <v>0</v>
      </c>
      <c r="K697" s="12"/>
      <c r="L697" s="63">
        <f t="shared" si="51"/>
        <v>60484.050000000047</v>
      </c>
      <c r="M697" s="25"/>
    </row>
    <row r="698" spans="2:13" x14ac:dyDescent="0.2">
      <c r="B698" s="110"/>
      <c r="C698" s="353"/>
      <c r="D698" s="65"/>
      <c r="E698" s="13"/>
      <c r="F698" s="15"/>
      <c r="G698" s="15"/>
      <c r="H698" s="112"/>
      <c r="I698" s="12">
        <f t="shared" si="48"/>
        <v>0</v>
      </c>
      <c r="J698" s="12">
        <f t="shared" si="49"/>
        <v>0</v>
      </c>
      <c r="K698" s="12"/>
      <c r="L698" s="63">
        <f t="shared" si="51"/>
        <v>60484.050000000047</v>
      </c>
      <c r="M698" s="25"/>
    </row>
    <row r="699" spans="2:13" x14ac:dyDescent="0.2">
      <c r="B699" s="110"/>
      <c r="C699" s="353"/>
      <c r="D699" s="65"/>
      <c r="E699" s="13"/>
      <c r="F699" s="15"/>
      <c r="G699" s="15"/>
      <c r="H699" s="112"/>
      <c r="I699" s="12">
        <f t="shared" si="48"/>
        <v>0</v>
      </c>
      <c r="J699" s="12">
        <f t="shared" si="49"/>
        <v>0</v>
      </c>
      <c r="K699" s="12"/>
      <c r="L699" s="63">
        <f t="shared" si="51"/>
        <v>60484.050000000047</v>
      </c>
      <c r="M699" s="25"/>
    </row>
    <row r="700" spans="2:13" x14ac:dyDescent="0.2">
      <c r="B700" s="110"/>
      <c r="C700" s="353"/>
      <c r="D700" s="65"/>
      <c r="E700" s="13"/>
      <c r="F700" s="15"/>
      <c r="G700" s="15"/>
      <c r="H700" s="112"/>
      <c r="I700" s="12">
        <f t="shared" si="48"/>
        <v>0</v>
      </c>
      <c r="J700" s="12">
        <f t="shared" si="49"/>
        <v>0</v>
      </c>
      <c r="K700" s="12"/>
      <c r="L700" s="63">
        <f t="shared" si="51"/>
        <v>60484.050000000047</v>
      </c>
      <c r="M700" s="25"/>
    </row>
    <row r="701" spans="2:13" x14ac:dyDescent="0.2">
      <c r="B701" s="110"/>
      <c r="C701" s="353"/>
      <c r="D701" s="65"/>
      <c r="E701" s="13"/>
      <c r="F701" s="15"/>
      <c r="G701" s="15"/>
      <c r="H701" s="112"/>
      <c r="I701" s="12">
        <f t="shared" si="48"/>
        <v>0</v>
      </c>
      <c r="J701" s="12">
        <f t="shared" si="49"/>
        <v>0</v>
      </c>
      <c r="K701" s="12"/>
      <c r="L701" s="63">
        <f t="shared" si="51"/>
        <v>60484.050000000047</v>
      </c>
      <c r="M701" s="25"/>
    </row>
    <row r="702" spans="2:13" x14ac:dyDescent="0.2">
      <c r="B702" s="110"/>
      <c r="C702" s="353"/>
      <c r="D702" s="65"/>
      <c r="E702" s="13"/>
      <c r="F702" s="15"/>
      <c r="G702" s="15"/>
      <c r="H702" s="112"/>
      <c r="I702" s="12"/>
      <c r="J702" s="12"/>
      <c r="K702" s="12"/>
      <c r="L702" s="63">
        <f t="shared" si="51"/>
        <v>60484.050000000047</v>
      </c>
      <c r="M702" s="25"/>
    </row>
    <row r="703" spans="2:13" x14ac:dyDescent="0.2">
      <c r="B703" s="110"/>
      <c r="C703" s="353"/>
      <c r="D703" s="65"/>
      <c r="E703" s="13"/>
      <c r="F703" s="15"/>
      <c r="G703" s="15"/>
      <c r="H703" s="112"/>
      <c r="I703" s="12"/>
      <c r="J703" s="12"/>
      <c r="K703" s="12"/>
      <c r="L703" s="63">
        <f t="shared" si="51"/>
        <v>60484.050000000047</v>
      </c>
      <c r="M703" s="25"/>
    </row>
    <row r="704" spans="2:13" x14ac:dyDescent="0.2">
      <c r="B704" s="110"/>
      <c r="C704" s="353"/>
      <c r="D704" s="65"/>
      <c r="E704" s="13"/>
      <c r="F704" s="15"/>
      <c r="G704" s="15"/>
      <c r="H704" s="112"/>
      <c r="I704" s="12"/>
      <c r="J704" s="12"/>
      <c r="K704" s="12"/>
      <c r="L704" s="63">
        <f t="shared" si="51"/>
        <v>60484.050000000047</v>
      </c>
      <c r="M704" s="25"/>
    </row>
    <row r="705" spans="2:13" x14ac:dyDescent="0.2">
      <c r="B705" s="110"/>
      <c r="C705" s="353"/>
      <c r="D705" s="65"/>
      <c r="E705" s="13"/>
      <c r="F705" s="15"/>
      <c r="G705" s="15"/>
      <c r="H705" s="112"/>
      <c r="I705" s="12"/>
      <c r="J705" s="12"/>
      <c r="K705" s="12"/>
      <c r="L705" s="63">
        <f t="shared" si="51"/>
        <v>60484.050000000047</v>
      </c>
      <c r="M705" s="25"/>
    </row>
    <row r="706" spans="2:13" x14ac:dyDescent="0.2">
      <c r="B706" s="110"/>
      <c r="C706" s="353"/>
      <c r="D706" s="65"/>
      <c r="E706" s="13"/>
      <c r="F706" s="15"/>
      <c r="G706" s="15"/>
      <c r="H706" s="112"/>
      <c r="I706" s="12"/>
      <c r="J706" s="12"/>
      <c r="K706" s="12"/>
      <c r="L706" s="63">
        <f t="shared" si="51"/>
        <v>60484.050000000047</v>
      </c>
      <c r="M706" s="25"/>
    </row>
    <row r="707" spans="2:13" x14ac:dyDescent="0.2">
      <c r="B707" s="110"/>
      <c r="C707" s="65"/>
      <c r="D707" s="65"/>
      <c r="E707" s="13"/>
      <c r="F707" s="15"/>
      <c r="G707" s="66"/>
      <c r="H707" s="112"/>
      <c r="I707" s="12"/>
      <c r="J707" s="12"/>
      <c r="K707" s="12"/>
      <c r="L707" s="63">
        <f t="shared" si="51"/>
        <v>60484.050000000047</v>
      </c>
    </row>
    <row r="708" spans="2:13" x14ac:dyDescent="0.2">
      <c r="B708" s="547" t="s">
        <v>408</v>
      </c>
      <c r="C708" s="548"/>
      <c r="D708" s="548"/>
      <c r="E708" s="548"/>
      <c r="F708" s="548"/>
      <c r="G708" s="548"/>
      <c r="H708" s="548"/>
      <c r="I708" s="548"/>
      <c r="J708" s="548"/>
      <c r="K708" s="549"/>
      <c r="L708" s="63">
        <f t="shared" si="51"/>
        <v>60484.050000000047</v>
      </c>
    </row>
    <row r="709" spans="2:13" x14ac:dyDescent="0.2">
      <c r="B709" s="552" t="s">
        <v>56</v>
      </c>
      <c r="C709" s="553"/>
      <c r="D709" s="554" t="s">
        <v>51</v>
      </c>
      <c r="E709" s="554"/>
      <c r="F709" s="554"/>
      <c r="G709" s="94"/>
      <c r="H709" s="95"/>
      <c r="I709" s="96"/>
      <c r="J709" s="96"/>
      <c r="K709" s="97"/>
      <c r="L709" s="63">
        <f t="shared" si="51"/>
        <v>60484.050000000047</v>
      </c>
    </row>
    <row r="710" spans="2:13" x14ac:dyDescent="0.2">
      <c r="B710" s="91" t="s">
        <v>1</v>
      </c>
      <c r="C710" s="92" t="s">
        <v>57</v>
      </c>
      <c r="D710" s="92" t="s">
        <v>2</v>
      </c>
      <c r="E710" s="474" t="s">
        <v>3</v>
      </c>
      <c r="F710" s="474" t="s">
        <v>4</v>
      </c>
      <c r="G710" s="561" t="s">
        <v>58</v>
      </c>
      <c r="H710" s="562"/>
      <c r="I710" s="562"/>
      <c r="J710" s="563"/>
      <c r="K710" s="90"/>
      <c r="L710" s="63">
        <f t="shared" si="51"/>
        <v>60484.050000000047</v>
      </c>
    </row>
    <row r="711" spans="2:13" ht="11.25" customHeight="1" x14ac:dyDescent="0.2">
      <c r="B711" s="64"/>
      <c r="C711" s="77"/>
      <c r="D711" s="78"/>
      <c r="E711" s="3"/>
      <c r="F711" s="16"/>
      <c r="G711" s="478"/>
      <c r="H711" s="478"/>
      <c r="I711" s="478"/>
      <c r="J711" s="12"/>
      <c r="K711" s="12"/>
      <c r="L711" s="63">
        <f t="shared" si="51"/>
        <v>60484.050000000047</v>
      </c>
    </row>
    <row r="712" spans="2:13" ht="11.25" customHeight="1" x14ac:dyDescent="0.2">
      <c r="B712" s="10"/>
      <c r="C712" s="77"/>
      <c r="D712" s="77"/>
      <c r="E712" s="3"/>
      <c r="F712" s="16"/>
      <c r="G712" s="478"/>
      <c r="H712" s="478"/>
      <c r="I712" s="478"/>
      <c r="J712" s="349"/>
      <c r="K712" s="70"/>
      <c r="L712" s="63">
        <f t="shared" si="51"/>
        <v>60484.050000000047</v>
      </c>
    </row>
    <row r="713" spans="2:13" ht="11.25" customHeight="1" x14ac:dyDescent="0.2">
      <c r="B713" s="10"/>
      <c r="C713" s="77"/>
      <c r="D713" s="77"/>
      <c r="E713" s="3"/>
      <c r="F713" s="16"/>
      <c r="G713" s="478"/>
      <c r="H713" s="478"/>
      <c r="I713" s="478"/>
      <c r="J713" s="349"/>
      <c r="K713" s="70"/>
      <c r="L713" s="63">
        <f t="shared" si="51"/>
        <v>60484.050000000047</v>
      </c>
    </row>
    <row r="714" spans="2:13" ht="11.25" customHeight="1" x14ac:dyDescent="0.2">
      <c r="B714" s="10"/>
      <c r="C714" s="77"/>
      <c r="D714" s="77"/>
      <c r="E714" s="3"/>
      <c r="F714" s="16"/>
      <c r="G714" s="479"/>
      <c r="H714" s="479"/>
      <c r="I714" s="479"/>
      <c r="J714" s="349"/>
      <c r="K714" s="70"/>
      <c r="L714" s="63">
        <f t="shared" si="51"/>
        <v>60484.050000000047</v>
      </c>
    </row>
    <row r="715" spans="2:13" ht="11.25" customHeight="1" x14ac:dyDescent="0.2">
      <c r="B715" s="10"/>
      <c r="C715" s="77"/>
      <c r="D715" s="77"/>
      <c r="E715" s="3"/>
      <c r="F715" s="16"/>
      <c r="G715" s="479"/>
      <c r="H715" s="479"/>
      <c r="I715" s="479"/>
      <c r="J715" s="349"/>
      <c r="K715" s="70"/>
      <c r="L715" s="63">
        <f t="shared" si="51"/>
        <v>60484.050000000047</v>
      </c>
    </row>
    <row r="716" spans="2:13" ht="11.25" customHeight="1" x14ac:dyDescent="0.2">
      <c r="B716" s="10"/>
      <c r="C716" s="77"/>
      <c r="D716" s="77"/>
      <c r="E716" s="3"/>
      <c r="F716" s="16"/>
      <c r="G716" s="480"/>
      <c r="H716" s="480"/>
      <c r="I716" s="480"/>
      <c r="J716" s="349"/>
      <c r="K716" s="70"/>
      <c r="L716" s="63">
        <f t="shared" si="51"/>
        <v>60484.050000000047</v>
      </c>
    </row>
    <row r="717" spans="2:13" ht="11.25" customHeight="1" x14ac:dyDescent="0.2">
      <c r="B717" s="10"/>
      <c r="C717" s="77"/>
      <c r="D717" s="77"/>
      <c r="E717" s="3"/>
      <c r="F717" s="16"/>
      <c r="G717" s="477"/>
      <c r="H717" s="477"/>
      <c r="I717" s="477"/>
      <c r="J717" s="349"/>
      <c r="K717" s="441"/>
      <c r="L717" s="63">
        <f t="shared" si="51"/>
        <v>60484.050000000047</v>
      </c>
    </row>
    <row r="718" spans="2:13" ht="11.25" customHeight="1" x14ac:dyDescent="0.2">
      <c r="B718" s="10"/>
      <c r="C718" s="77"/>
      <c r="D718" s="77"/>
      <c r="E718" s="3"/>
      <c r="F718" s="16"/>
      <c r="G718" s="477"/>
      <c r="H718" s="477"/>
      <c r="I718" s="477"/>
      <c r="J718" s="349"/>
      <c r="K718" s="441"/>
      <c r="L718" s="63">
        <f t="shared" si="51"/>
        <v>60484.050000000047</v>
      </c>
    </row>
    <row r="719" spans="2:13" ht="11.25" customHeight="1" x14ac:dyDescent="0.2">
      <c r="B719" s="10"/>
      <c r="C719" s="77"/>
      <c r="D719" s="77"/>
      <c r="E719" s="3"/>
      <c r="F719" s="16"/>
      <c r="G719" s="477"/>
      <c r="H719" s="477"/>
      <c r="I719" s="477"/>
      <c r="J719" s="349"/>
      <c r="K719" s="61"/>
      <c r="L719" s="63">
        <f t="shared" si="51"/>
        <v>60484.050000000047</v>
      </c>
    </row>
    <row r="720" spans="2:13" ht="11.25" customHeight="1" x14ac:dyDescent="0.2">
      <c r="B720" s="10"/>
      <c r="C720" s="77"/>
      <c r="D720" s="77"/>
      <c r="E720" s="3"/>
      <c r="F720" s="16"/>
      <c r="G720" s="477"/>
      <c r="H720" s="477"/>
      <c r="I720" s="477"/>
      <c r="J720" s="349"/>
      <c r="K720" s="12"/>
      <c r="L720" s="63">
        <f t="shared" si="51"/>
        <v>60484.050000000047</v>
      </c>
    </row>
    <row r="721" spans="2:12" ht="11.25" customHeight="1" x14ac:dyDescent="0.2">
      <c r="B721" s="10"/>
      <c r="C721" s="77"/>
      <c r="D721" s="77"/>
      <c r="E721" s="3"/>
      <c r="F721" s="16"/>
      <c r="G721" s="479"/>
      <c r="H721" s="479"/>
      <c r="I721" s="479"/>
      <c r="J721" s="349"/>
      <c r="K721" s="70"/>
      <c r="L721" s="63">
        <f t="shared" si="51"/>
        <v>60484.050000000047</v>
      </c>
    </row>
    <row r="722" spans="2:12" ht="11.25" customHeight="1" x14ac:dyDescent="0.2">
      <c r="B722" s="10"/>
      <c r="C722" s="77"/>
      <c r="D722" s="77"/>
      <c r="E722" s="3"/>
      <c r="F722" s="16"/>
      <c r="G722" s="479"/>
      <c r="H722" s="479"/>
      <c r="I722" s="479"/>
      <c r="J722" s="349"/>
      <c r="K722" s="70"/>
      <c r="L722" s="63">
        <f t="shared" si="51"/>
        <v>60484.050000000047</v>
      </c>
    </row>
    <row r="723" spans="2:12" ht="11.25" customHeight="1" x14ac:dyDescent="0.2">
      <c r="B723" s="10"/>
      <c r="C723" s="77"/>
      <c r="D723" s="77"/>
      <c r="E723" s="3"/>
      <c r="F723" s="16"/>
      <c r="G723" s="479"/>
      <c r="H723" s="479"/>
      <c r="I723" s="479"/>
      <c r="J723" s="349"/>
      <c r="K723" s="70"/>
      <c r="L723" s="63">
        <f t="shared" si="51"/>
        <v>60484.050000000047</v>
      </c>
    </row>
    <row r="724" spans="2:12" ht="11.25" customHeight="1" x14ac:dyDescent="0.2">
      <c r="B724" s="10"/>
      <c r="C724" s="77"/>
      <c r="D724" s="77"/>
      <c r="E724" s="3"/>
      <c r="F724" s="16"/>
      <c r="G724" s="479"/>
      <c r="H724" s="479"/>
      <c r="I724" s="479"/>
      <c r="J724" s="349"/>
      <c r="K724" s="70"/>
      <c r="L724" s="63">
        <f t="shared" si="51"/>
        <v>60484.050000000047</v>
      </c>
    </row>
    <row r="725" spans="2:12" ht="11.25" customHeight="1" x14ac:dyDescent="0.2">
      <c r="B725" s="10"/>
      <c r="C725" s="77"/>
      <c r="D725" s="77"/>
      <c r="E725" s="3"/>
      <c r="F725" s="16"/>
      <c r="G725" s="485"/>
      <c r="H725" s="487"/>
      <c r="I725" s="487"/>
      <c r="J725" s="349"/>
      <c r="K725" s="70"/>
      <c r="L725" s="63">
        <f t="shared" si="51"/>
        <v>60484.050000000047</v>
      </c>
    </row>
    <row r="726" spans="2:12" ht="12.75" thickBot="1" x14ac:dyDescent="0.25">
      <c r="B726" s="64"/>
      <c r="C726" s="65"/>
      <c r="D726" s="65"/>
      <c r="E726" s="13"/>
      <c r="F726" s="13"/>
      <c r="G726" s="104"/>
      <c r="H726" s="84"/>
      <c r="I726" s="12"/>
      <c r="J726" s="12"/>
      <c r="K726" s="12"/>
      <c r="L726" s="63"/>
    </row>
    <row r="727" spans="2:12" x14ac:dyDescent="0.2">
      <c r="B727" s="56"/>
      <c r="C727" s="57"/>
      <c r="D727" s="57"/>
      <c r="E727" s="5"/>
      <c r="F727" s="5"/>
      <c r="G727" s="85" t="s">
        <v>33</v>
      </c>
      <c r="H727" s="107">
        <f>SUM(H670:H702)</f>
        <v>0</v>
      </c>
      <c r="I727" s="105">
        <f>SUM(I670:I704)</f>
        <v>0</v>
      </c>
      <c r="J727" s="106">
        <f>SUM(J670:J704)</f>
        <v>0</v>
      </c>
      <c r="K727" s="106">
        <f>SUM(K711:K724)</f>
        <v>0</v>
      </c>
      <c r="L727" s="108"/>
    </row>
    <row r="728" spans="2:12" ht="12.75" thickBot="1" x14ac:dyDescent="0.25">
      <c r="B728" s="71"/>
      <c r="C728" s="72"/>
      <c r="D728" s="72"/>
      <c r="E728" s="73"/>
      <c r="F728" s="73"/>
      <c r="G728" s="86" t="s">
        <v>13</v>
      </c>
      <c r="H728" s="100"/>
      <c r="I728" s="99"/>
      <c r="J728" s="87"/>
      <c r="K728" s="87"/>
      <c r="L728" s="88">
        <f>+J727-K727+L669</f>
        <v>60484.050000000047</v>
      </c>
    </row>
    <row r="729" spans="2:12" x14ac:dyDescent="0.2">
      <c r="B729" s="25"/>
      <c r="H729" s="74"/>
      <c r="I729" s="25"/>
      <c r="L729" s="25"/>
    </row>
    <row r="730" spans="2:12" ht="12" customHeight="1" x14ac:dyDescent="0.2">
      <c r="B730" s="544" t="s">
        <v>48</v>
      </c>
      <c r="C730" s="545"/>
      <c r="D730" s="545"/>
      <c r="E730" s="545"/>
      <c r="F730" s="545"/>
      <c r="G730" s="545"/>
      <c r="H730" s="545"/>
      <c r="I730" s="545"/>
      <c r="J730" s="545"/>
      <c r="K730" s="545"/>
      <c r="L730" s="546"/>
    </row>
    <row r="731" spans="2:12" x14ac:dyDescent="0.2">
      <c r="B731" s="547" t="s">
        <v>703</v>
      </c>
      <c r="C731" s="548"/>
      <c r="D731" s="548"/>
      <c r="E731" s="548"/>
      <c r="F731" s="548"/>
      <c r="G731" s="548"/>
      <c r="H731" s="548"/>
      <c r="I731" s="548"/>
      <c r="J731" s="548"/>
      <c r="K731" s="548"/>
      <c r="L731" s="549"/>
    </row>
    <row r="732" spans="2:12" x14ac:dyDescent="0.2">
      <c r="B732" s="550" t="s">
        <v>50</v>
      </c>
      <c r="C732" s="550"/>
      <c r="D732" s="551" t="s">
        <v>51</v>
      </c>
      <c r="E732" s="551"/>
      <c r="F732" s="551"/>
      <c r="G732" s="472"/>
      <c r="H732" s="472"/>
      <c r="I732" s="472"/>
      <c r="J732" s="472"/>
      <c r="K732" s="472"/>
      <c r="L732" s="473"/>
    </row>
    <row r="733" spans="2:12" ht="24" x14ac:dyDescent="0.2">
      <c r="B733" s="56" t="s">
        <v>1</v>
      </c>
      <c r="C733" s="57" t="s">
        <v>2</v>
      </c>
      <c r="D733" s="57" t="s">
        <v>2</v>
      </c>
      <c r="E733" s="5" t="s">
        <v>3</v>
      </c>
      <c r="F733" s="5" t="s">
        <v>4</v>
      </c>
      <c r="G733" s="89" t="s">
        <v>6</v>
      </c>
      <c r="H733" s="83" t="s">
        <v>7</v>
      </c>
      <c r="I733" s="83" t="s">
        <v>52</v>
      </c>
      <c r="J733" s="83" t="s">
        <v>53</v>
      </c>
      <c r="K733" s="5" t="s">
        <v>10</v>
      </c>
      <c r="L733" s="5" t="s">
        <v>11</v>
      </c>
    </row>
    <row r="734" spans="2:12" x14ac:dyDescent="0.2">
      <c r="B734" s="58"/>
      <c r="C734" s="59"/>
      <c r="D734" s="59"/>
      <c r="E734" s="13"/>
      <c r="F734" s="13"/>
      <c r="G734" s="24"/>
      <c r="H734" s="60"/>
      <c r="I734" s="61"/>
      <c r="J734" s="61"/>
      <c r="K734" s="61"/>
      <c r="L734" s="60">
        <f>L728</f>
        <v>60484.050000000047</v>
      </c>
    </row>
    <row r="735" spans="2:12" x14ac:dyDescent="0.2">
      <c r="B735" s="110"/>
      <c r="C735" s="353"/>
      <c r="D735" s="11"/>
      <c r="E735" s="15"/>
      <c r="F735" s="15"/>
      <c r="G735" s="15"/>
      <c r="H735" s="112"/>
      <c r="I735" s="12">
        <f>H735*0.32</f>
        <v>0</v>
      </c>
      <c r="J735" s="12">
        <f>H735*0.68</f>
        <v>0</v>
      </c>
      <c r="K735" s="12"/>
      <c r="L735" s="63">
        <f>+J735-K735+L734</f>
        <v>60484.050000000047</v>
      </c>
    </row>
    <row r="736" spans="2:12" x14ac:dyDescent="0.2">
      <c r="B736" s="110"/>
      <c r="C736" s="353"/>
      <c r="D736" s="11"/>
      <c r="E736" s="15"/>
      <c r="F736" s="15"/>
      <c r="G736" s="15"/>
      <c r="H736" s="112"/>
      <c r="I736" s="12">
        <f t="shared" ref="I736:I766" si="52">H736*0.32</f>
        <v>0</v>
      </c>
      <c r="J736" s="12">
        <f t="shared" ref="J736:J766" si="53">H736*0.68</f>
        <v>0</v>
      </c>
      <c r="K736" s="12"/>
      <c r="L736" s="63">
        <f t="shared" ref="L736:L781" si="54">+J736-K736+L735</f>
        <v>60484.050000000047</v>
      </c>
    </row>
    <row r="737" spans="2:12" x14ac:dyDescent="0.2">
      <c r="B737" s="110"/>
      <c r="C737" s="353"/>
      <c r="D737" s="11"/>
      <c r="E737" s="15"/>
      <c r="F737" s="15"/>
      <c r="G737" s="15"/>
      <c r="H737" s="112"/>
      <c r="I737" s="12">
        <f t="shared" si="52"/>
        <v>0</v>
      </c>
      <c r="J737" s="12">
        <f t="shared" si="53"/>
        <v>0</v>
      </c>
      <c r="K737" s="12"/>
      <c r="L737" s="63">
        <f t="shared" si="54"/>
        <v>60484.050000000047</v>
      </c>
    </row>
    <row r="738" spans="2:12" x14ac:dyDescent="0.2">
      <c r="B738" s="110"/>
      <c r="C738" s="353"/>
      <c r="D738" s="11"/>
      <c r="E738" s="15"/>
      <c r="F738" s="15"/>
      <c r="G738" s="15"/>
      <c r="H738" s="112"/>
      <c r="I738" s="12">
        <f t="shared" si="52"/>
        <v>0</v>
      </c>
      <c r="J738" s="12">
        <f t="shared" si="53"/>
        <v>0</v>
      </c>
      <c r="K738" s="12"/>
      <c r="L738" s="63">
        <f t="shared" si="54"/>
        <v>60484.050000000047</v>
      </c>
    </row>
    <row r="739" spans="2:12" x14ac:dyDescent="0.2">
      <c r="B739" s="110"/>
      <c r="C739" s="353"/>
      <c r="D739" s="11"/>
      <c r="E739" s="15"/>
      <c r="F739" s="15"/>
      <c r="G739" s="15"/>
      <c r="H739" s="112"/>
      <c r="I739" s="12">
        <f t="shared" si="52"/>
        <v>0</v>
      </c>
      <c r="J739" s="12">
        <f t="shared" si="53"/>
        <v>0</v>
      </c>
      <c r="K739" s="12"/>
      <c r="L739" s="63">
        <f t="shared" si="54"/>
        <v>60484.050000000047</v>
      </c>
    </row>
    <row r="740" spans="2:12" x14ac:dyDescent="0.2">
      <c r="B740" s="110"/>
      <c r="C740" s="353"/>
      <c r="D740" s="11"/>
      <c r="E740" s="15"/>
      <c r="F740" s="15"/>
      <c r="G740" s="15"/>
      <c r="H740" s="112"/>
      <c r="I740" s="12">
        <f t="shared" si="52"/>
        <v>0</v>
      </c>
      <c r="J740" s="12">
        <f t="shared" si="53"/>
        <v>0</v>
      </c>
      <c r="K740" s="12"/>
      <c r="L740" s="63">
        <f t="shared" si="54"/>
        <v>60484.050000000047</v>
      </c>
    </row>
    <row r="741" spans="2:12" x14ac:dyDescent="0.2">
      <c r="B741" s="110"/>
      <c r="C741" s="353"/>
      <c r="D741" s="11"/>
      <c r="E741" s="15"/>
      <c r="F741" s="15"/>
      <c r="G741" s="15"/>
      <c r="H741" s="112"/>
      <c r="I741" s="12">
        <f t="shared" si="52"/>
        <v>0</v>
      </c>
      <c r="J741" s="12">
        <f t="shared" si="53"/>
        <v>0</v>
      </c>
      <c r="K741" s="12"/>
      <c r="L741" s="63">
        <f t="shared" si="54"/>
        <v>60484.050000000047</v>
      </c>
    </row>
    <row r="742" spans="2:12" x14ac:dyDescent="0.2">
      <c r="B742" s="110"/>
      <c r="C742" s="353"/>
      <c r="D742" s="77"/>
      <c r="E742" s="15"/>
      <c r="F742" s="15"/>
      <c r="G742" s="15"/>
      <c r="H742" s="112"/>
      <c r="I742" s="12">
        <f t="shared" si="52"/>
        <v>0</v>
      </c>
      <c r="J742" s="12">
        <f t="shared" si="53"/>
        <v>0</v>
      </c>
      <c r="K742" s="12"/>
      <c r="L742" s="63">
        <f t="shared" si="54"/>
        <v>60484.050000000047</v>
      </c>
    </row>
    <row r="743" spans="2:12" x14ac:dyDescent="0.2">
      <c r="B743" s="110"/>
      <c r="C743" s="353"/>
      <c r="D743" s="11"/>
      <c r="E743" s="15"/>
      <c r="F743" s="15"/>
      <c r="G743" s="15"/>
      <c r="H743" s="112"/>
      <c r="I743" s="12">
        <f t="shared" si="52"/>
        <v>0</v>
      </c>
      <c r="J743" s="12">
        <f t="shared" si="53"/>
        <v>0</v>
      </c>
      <c r="K743" s="12"/>
      <c r="L743" s="63">
        <f t="shared" si="54"/>
        <v>60484.050000000047</v>
      </c>
    </row>
    <row r="744" spans="2:12" x14ac:dyDescent="0.2">
      <c r="B744" s="110"/>
      <c r="C744" s="353"/>
      <c r="D744" s="11"/>
      <c r="E744" s="15"/>
      <c r="F744" s="15"/>
      <c r="G744" s="15"/>
      <c r="H744" s="112"/>
      <c r="I744" s="12">
        <f t="shared" si="52"/>
        <v>0</v>
      </c>
      <c r="J744" s="12">
        <f t="shared" si="53"/>
        <v>0</v>
      </c>
      <c r="K744" s="12"/>
      <c r="L744" s="63">
        <f t="shared" si="54"/>
        <v>60484.050000000047</v>
      </c>
    </row>
    <row r="745" spans="2:12" x14ac:dyDescent="0.2">
      <c r="B745" s="110"/>
      <c r="C745" s="353"/>
      <c r="D745" s="11"/>
      <c r="E745" s="15"/>
      <c r="F745" s="15"/>
      <c r="G745" s="15"/>
      <c r="H745" s="112"/>
      <c r="I745" s="12">
        <f t="shared" si="52"/>
        <v>0</v>
      </c>
      <c r="J745" s="12">
        <f t="shared" si="53"/>
        <v>0</v>
      </c>
      <c r="K745" s="12"/>
      <c r="L745" s="63">
        <f t="shared" si="54"/>
        <v>60484.050000000047</v>
      </c>
    </row>
    <row r="746" spans="2:12" x14ac:dyDescent="0.2">
      <c r="B746" s="110"/>
      <c r="C746" s="353"/>
      <c r="D746" s="65"/>
      <c r="E746" s="13"/>
      <c r="F746" s="15"/>
      <c r="G746" s="15"/>
      <c r="H746" s="112"/>
      <c r="I746" s="12">
        <f t="shared" si="52"/>
        <v>0</v>
      </c>
      <c r="J746" s="12">
        <f t="shared" si="53"/>
        <v>0</v>
      </c>
      <c r="K746" s="12"/>
      <c r="L746" s="63">
        <f t="shared" si="54"/>
        <v>60484.050000000047</v>
      </c>
    </row>
    <row r="747" spans="2:12" x14ac:dyDescent="0.2">
      <c r="B747" s="110"/>
      <c r="C747" s="353"/>
      <c r="D747" s="65"/>
      <c r="E747" s="13"/>
      <c r="F747" s="15"/>
      <c r="G747" s="15"/>
      <c r="H747" s="112"/>
      <c r="I747" s="12">
        <f t="shared" si="52"/>
        <v>0</v>
      </c>
      <c r="J747" s="12">
        <f t="shared" si="53"/>
        <v>0</v>
      </c>
      <c r="K747" s="12"/>
      <c r="L747" s="63">
        <f t="shared" si="54"/>
        <v>60484.050000000047</v>
      </c>
    </row>
    <row r="748" spans="2:12" x14ac:dyDescent="0.2">
      <c r="B748" s="110"/>
      <c r="C748" s="353"/>
      <c r="D748" s="65"/>
      <c r="E748" s="13"/>
      <c r="F748" s="15"/>
      <c r="G748" s="15"/>
      <c r="H748" s="112"/>
      <c r="I748" s="12">
        <f t="shared" si="52"/>
        <v>0</v>
      </c>
      <c r="J748" s="12">
        <f t="shared" si="53"/>
        <v>0</v>
      </c>
      <c r="K748" s="12"/>
      <c r="L748" s="63">
        <f t="shared" si="54"/>
        <v>60484.050000000047</v>
      </c>
    </row>
    <row r="749" spans="2:12" x14ac:dyDescent="0.2">
      <c r="B749" s="110"/>
      <c r="C749" s="353"/>
      <c r="D749" s="65"/>
      <c r="E749" s="13"/>
      <c r="F749" s="15"/>
      <c r="G749" s="15"/>
      <c r="H749" s="112"/>
      <c r="I749" s="12">
        <f t="shared" si="52"/>
        <v>0</v>
      </c>
      <c r="J749" s="12">
        <f t="shared" si="53"/>
        <v>0</v>
      </c>
      <c r="K749" s="12"/>
      <c r="L749" s="63">
        <f t="shared" si="54"/>
        <v>60484.050000000047</v>
      </c>
    </row>
    <row r="750" spans="2:12" x14ac:dyDescent="0.2">
      <c r="B750" s="110"/>
      <c r="C750" s="353"/>
      <c r="D750" s="65"/>
      <c r="E750" s="13"/>
      <c r="F750" s="15"/>
      <c r="G750" s="15"/>
      <c r="H750" s="112"/>
      <c r="I750" s="12">
        <f t="shared" si="52"/>
        <v>0</v>
      </c>
      <c r="J750" s="12">
        <f t="shared" si="53"/>
        <v>0</v>
      </c>
      <c r="K750" s="12"/>
      <c r="L750" s="63">
        <f t="shared" si="54"/>
        <v>60484.050000000047</v>
      </c>
    </row>
    <row r="751" spans="2:12" x14ac:dyDescent="0.2">
      <c r="B751" s="110"/>
      <c r="C751" s="353"/>
      <c r="D751" s="65"/>
      <c r="E751" s="13"/>
      <c r="F751" s="15"/>
      <c r="G751" s="15"/>
      <c r="H751" s="112"/>
      <c r="I751" s="12">
        <f t="shared" si="52"/>
        <v>0</v>
      </c>
      <c r="J751" s="12">
        <f t="shared" si="53"/>
        <v>0</v>
      </c>
      <c r="K751" s="12"/>
      <c r="L751" s="63">
        <f t="shared" si="54"/>
        <v>60484.050000000047</v>
      </c>
    </row>
    <row r="752" spans="2:12" x14ac:dyDescent="0.2">
      <c r="B752" s="110"/>
      <c r="C752" s="353"/>
      <c r="D752" s="65"/>
      <c r="E752" s="13"/>
      <c r="F752" s="15"/>
      <c r="G752" s="15"/>
      <c r="H752" s="112"/>
      <c r="I752" s="12">
        <f t="shared" si="52"/>
        <v>0</v>
      </c>
      <c r="J752" s="12">
        <f t="shared" si="53"/>
        <v>0</v>
      </c>
      <c r="K752" s="12"/>
      <c r="L752" s="63">
        <f t="shared" si="54"/>
        <v>60484.050000000047</v>
      </c>
    </row>
    <row r="753" spans="2:12" x14ac:dyDescent="0.2">
      <c r="B753" s="110"/>
      <c r="C753" s="353"/>
      <c r="D753" s="65"/>
      <c r="E753" s="13"/>
      <c r="F753" s="15"/>
      <c r="G753" s="15"/>
      <c r="H753" s="112"/>
      <c r="I753" s="12">
        <f t="shared" si="52"/>
        <v>0</v>
      </c>
      <c r="J753" s="12">
        <f t="shared" si="53"/>
        <v>0</v>
      </c>
      <c r="K753" s="12"/>
      <c r="L753" s="63">
        <f t="shared" si="54"/>
        <v>60484.050000000047</v>
      </c>
    </row>
    <row r="754" spans="2:12" x14ac:dyDescent="0.2">
      <c r="B754" s="110"/>
      <c r="C754" s="353"/>
      <c r="D754" s="65"/>
      <c r="E754" s="13"/>
      <c r="F754" s="15"/>
      <c r="G754" s="15"/>
      <c r="H754" s="112"/>
      <c r="I754" s="12">
        <f t="shared" si="52"/>
        <v>0</v>
      </c>
      <c r="J754" s="12">
        <f t="shared" si="53"/>
        <v>0</v>
      </c>
      <c r="K754" s="12"/>
      <c r="L754" s="63">
        <f t="shared" si="54"/>
        <v>60484.050000000047</v>
      </c>
    </row>
    <row r="755" spans="2:12" x14ac:dyDescent="0.2">
      <c r="B755" s="110"/>
      <c r="C755" s="353"/>
      <c r="D755" s="65"/>
      <c r="E755" s="13"/>
      <c r="F755" s="15"/>
      <c r="G755" s="15"/>
      <c r="H755" s="112"/>
      <c r="I755" s="12">
        <f t="shared" si="52"/>
        <v>0</v>
      </c>
      <c r="J755" s="12">
        <f t="shared" si="53"/>
        <v>0</v>
      </c>
      <c r="K755" s="12"/>
      <c r="L755" s="63">
        <f t="shared" si="54"/>
        <v>60484.050000000047</v>
      </c>
    </row>
    <row r="756" spans="2:12" x14ac:dyDescent="0.2">
      <c r="B756" s="110"/>
      <c r="C756" s="353"/>
      <c r="D756" s="65"/>
      <c r="E756" s="13"/>
      <c r="F756" s="15"/>
      <c r="G756" s="15"/>
      <c r="H756" s="112"/>
      <c r="I756" s="12">
        <f t="shared" si="52"/>
        <v>0</v>
      </c>
      <c r="J756" s="12">
        <f t="shared" si="53"/>
        <v>0</v>
      </c>
      <c r="K756" s="12"/>
      <c r="L756" s="63">
        <f t="shared" si="54"/>
        <v>60484.050000000047</v>
      </c>
    </row>
    <row r="757" spans="2:12" x14ac:dyDescent="0.2">
      <c r="B757" s="110"/>
      <c r="C757" s="353"/>
      <c r="D757" s="65"/>
      <c r="E757" s="13"/>
      <c r="F757" s="15"/>
      <c r="G757" s="15"/>
      <c r="H757" s="112"/>
      <c r="I757" s="12">
        <f t="shared" si="52"/>
        <v>0</v>
      </c>
      <c r="J757" s="12">
        <f t="shared" si="53"/>
        <v>0</v>
      </c>
      <c r="K757" s="12"/>
      <c r="L757" s="63">
        <f t="shared" si="54"/>
        <v>60484.050000000047</v>
      </c>
    </row>
    <row r="758" spans="2:12" x14ac:dyDescent="0.2">
      <c r="B758" s="110"/>
      <c r="C758" s="353"/>
      <c r="D758" s="65"/>
      <c r="E758" s="13"/>
      <c r="F758" s="15"/>
      <c r="G758" s="15"/>
      <c r="H758" s="112"/>
      <c r="I758" s="12">
        <f t="shared" si="52"/>
        <v>0</v>
      </c>
      <c r="J758" s="12">
        <f t="shared" si="53"/>
        <v>0</v>
      </c>
      <c r="K758" s="12"/>
      <c r="L758" s="63">
        <f t="shared" si="54"/>
        <v>60484.050000000047</v>
      </c>
    </row>
    <row r="759" spans="2:12" x14ac:dyDescent="0.2">
      <c r="B759" s="110"/>
      <c r="C759" s="353"/>
      <c r="D759" s="65"/>
      <c r="E759" s="13"/>
      <c r="F759" s="15"/>
      <c r="G759" s="15"/>
      <c r="H759" s="112"/>
      <c r="I759" s="12">
        <f t="shared" si="52"/>
        <v>0</v>
      </c>
      <c r="J759" s="12">
        <f t="shared" si="53"/>
        <v>0</v>
      </c>
      <c r="K759" s="12"/>
      <c r="L759" s="63">
        <f t="shared" si="54"/>
        <v>60484.050000000047</v>
      </c>
    </row>
    <row r="760" spans="2:12" x14ac:dyDescent="0.2">
      <c r="B760" s="110"/>
      <c r="C760" s="353"/>
      <c r="D760" s="65"/>
      <c r="E760" s="13"/>
      <c r="F760" s="15"/>
      <c r="G760" s="15"/>
      <c r="H760" s="112"/>
      <c r="I760" s="12">
        <f t="shared" si="52"/>
        <v>0</v>
      </c>
      <c r="J760" s="12">
        <f t="shared" si="53"/>
        <v>0</v>
      </c>
      <c r="K760" s="12"/>
      <c r="L760" s="63">
        <f t="shared" si="54"/>
        <v>60484.050000000047</v>
      </c>
    </row>
    <row r="761" spans="2:12" x14ac:dyDescent="0.2">
      <c r="B761" s="110"/>
      <c r="C761" s="353"/>
      <c r="D761" s="65"/>
      <c r="E761" s="13"/>
      <c r="F761" s="15"/>
      <c r="G761" s="15"/>
      <c r="H761" s="112"/>
      <c r="I761" s="12">
        <f t="shared" si="52"/>
        <v>0</v>
      </c>
      <c r="J761" s="12">
        <f t="shared" si="53"/>
        <v>0</v>
      </c>
      <c r="K761" s="12"/>
      <c r="L761" s="63">
        <f t="shared" si="54"/>
        <v>60484.050000000047</v>
      </c>
    </row>
    <row r="762" spans="2:12" x14ac:dyDescent="0.2">
      <c r="B762" s="110"/>
      <c r="C762" s="353"/>
      <c r="D762" s="65"/>
      <c r="E762" s="13"/>
      <c r="F762" s="15"/>
      <c r="G762" s="15"/>
      <c r="H762" s="112"/>
      <c r="I762" s="12">
        <f t="shared" si="52"/>
        <v>0</v>
      </c>
      <c r="J762" s="12">
        <f t="shared" si="53"/>
        <v>0</v>
      </c>
      <c r="K762" s="12"/>
      <c r="L762" s="63">
        <f t="shared" si="54"/>
        <v>60484.050000000047</v>
      </c>
    </row>
    <row r="763" spans="2:12" x14ac:dyDescent="0.2">
      <c r="B763" s="110"/>
      <c r="C763" s="353"/>
      <c r="D763" s="65"/>
      <c r="E763" s="13"/>
      <c r="F763" s="15"/>
      <c r="G763" s="15"/>
      <c r="H763" s="112"/>
      <c r="I763" s="12">
        <f t="shared" si="52"/>
        <v>0</v>
      </c>
      <c r="J763" s="12">
        <f t="shared" si="53"/>
        <v>0</v>
      </c>
      <c r="K763" s="12"/>
      <c r="L763" s="63">
        <f t="shared" si="54"/>
        <v>60484.050000000047</v>
      </c>
    </row>
    <row r="764" spans="2:12" x14ac:dyDescent="0.2">
      <c r="B764" s="110"/>
      <c r="C764" s="353"/>
      <c r="D764" s="65"/>
      <c r="E764" s="13"/>
      <c r="F764" s="15"/>
      <c r="G764" s="15"/>
      <c r="H764" s="112"/>
      <c r="I764" s="12">
        <f t="shared" si="52"/>
        <v>0</v>
      </c>
      <c r="J764" s="12">
        <f t="shared" si="53"/>
        <v>0</v>
      </c>
      <c r="K764" s="12"/>
      <c r="L764" s="63">
        <f t="shared" si="54"/>
        <v>60484.050000000047</v>
      </c>
    </row>
    <row r="765" spans="2:12" x14ac:dyDescent="0.2">
      <c r="B765" s="110"/>
      <c r="C765" s="353"/>
      <c r="D765" s="65"/>
      <c r="E765" s="13"/>
      <c r="F765" s="15"/>
      <c r="G765" s="15"/>
      <c r="H765" s="112"/>
      <c r="I765" s="12">
        <f t="shared" si="52"/>
        <v>0</v>
      </c>
      <c r="J765" s="12">
        <f t="shared" si="53"/>
        <v>0</v>
      </c>
      <c r="K765" s="12"/>
      <c r="L765" s="63">
        <f t="shared" si="54"/>
        <v>60484.050000000047</v>
      </c>
    </row>
    <row r="766" spans="2:12" x14ac:dyDescent="0.2">
      <c r="B766" s="110"/>
      <c r="C766" s="353"/>
      <c r="D766" s="65"/>
      <c r="E766" s="13"/>
      <c r="F766" s="15"/>
      <c r="G766" s="15"/>
      <c r="H766" s="112"/>
      <c r="I766" s="12">
        <f t="shared" si="52"/>
        <v>0</v>
      </c>
      <c r="J766" s="12">
        <f t="shared" si="53"/>
        <v>0</v>
      </c>
      <c r="K766" s="12"/>
      <c r="L766" s="63">
        <f t="shared" si="54"/>
        <v>60484.050000000047</v>
      </c>
    </row>
    <row r="767" spans="2:12" x14ac:dyDescent="0.2">
      <c r="B767" s="110"/>
      <c r="C767" s="65"/>
      <c r="D767" s="65"/>
      <c r="E767" s="13"/>
      <c r="F767" s="15"/>
      <c r="G767" s="66"/>
      <c r="H767" s="112"/>
      <c r="I767" s="12"/>
      <c r="J767" s="12"/>
      <c r="K767" s="12"/>
      <c r="L767" s="63">
        <f t="shared" si="54"/>
        <v>60484.050000000047</v>
      </c>
    </row>
    <row r="768" spans="2:12" x14ac:dyDescent="0.2">
      <c r="B768" s="547" t="s">
        <v>848</v>
      </c>
      <c r="C768" s="548"/>
      <c r="D768" s="548"/>
      <c r="E768" s="548"/>
      <c r="F768" s="548"/>
      <c r="G768" s="548"/>
      <c r="H768" s="548"/>
      <c r="I768" s="548"/>
      <c r="J768" s="548"/>
      <c r="K768" s="549"/>
      <c r="L768" s="63">
        <f t="shared" si="54"/>
        <v>60484.050000000047</v>
      </c>
    </row>
    <row r="769" spans="2:12" x14ac:dyDescent="0.2">
      <c r="B769" s="552" t="s">
        <v>56</v>
      </c>
      <c r="C769" s="553"/>
      <c r="D769" s="554" t="s">
        <v>51</v>
      </c>
      <c r="E769" s="554"/>
      <c r="F769" s="554"/>
      <c r="G769" s="94"/>
      <c r="H769" s="95"/>
      <c r="I769" s="96"/>
      <c r="J769" s="96"/>
      <c r="K769" s="97"/>
      <c r="L769" s="63">
        <f t="shared" si="54"/>
        <v>60484.050000000047</v>
      </c>
    </row>
    <row r="770" spans="2:12" x14ac:dyDescent="0.2">
      <c r="B770" s="91" t="s">
        <v>1</v>
      </c>
      <c r="C770" s="92" t="s">
        <v>57</v>
      </c>
      <c r="D770" s="92" t="s">
        <v>2</v>
      </c>
      <c r="E770" s="474" t="s">
        <v>3</v>
      </c>
      <c r="F770" s="474" t="s">
        <v>4</v>
      </c>
      <c r="G770" s="561" t="s">
        <v>58</v>
      </c>
      <c r="H770" s="562"/>
      <c r="I770" s="562"/>
      <c r="J770" s="563"/>
      <c r="K770" s="90"/>
      <c r="L770" s="63">
        <f t="shared" si="54"/>
        <v>60484.050000000047</v>
      </c>
    </row>
    <row r="771" spans="2:12" ht="15" customHeight="1" x14ac:dyDescent="0.2">
      <c r="B771" s="10"/>
      <c r="C771" s="77"/>
      <c r="D771" s="77"/>
      <c r="E771" s="3"/>
      <c r="F771" s="16"/>
      <c r="G771" s="476"/>
      <c r="H771" s="476"/>
      <c r="I771" s="476"/>
      <c r="J771" s="349"/>
      <c r="K771" s="70"/>
      <c r="L771" s="63">
        <f t="shared" si="54"/>
        <v>60484.050000000047</v>
      </c>
    </row>
    <row r="772" spans="2:12" ht="15" customHeight="1" x14ac:dyDescent="0.2">
      <c r="B772" s="10"/>
      <c r="C772" s="77"/>
      <c r="D772" s="77"/>
      <c r="E772" s="3"/>
      <c r="F772" s="16"/>
      <c r="G772" s="477"/>
      <c r="H772" s="477"/>
      <c r="I772" s="477"/>
      <c r="J772" s="349"/>
      <c r="K772" s="441"/>
      <c r="L772" s="63">
        <f t="shared" si="54"/>
        <v>60484.050000000047</v>
      </c>
    </row>
    <row r="773" spans="2:12" ht="15" customHeight="1" x14ac:dyDescent="0.2">
      <c r="B773" s="10"/>
      <c r="C773" s="77"/>
      <c r="D773" s="77"/>
      <c r="E773" s="3"/>
      <c r="F773" s="16"/>
      <c r="G773" s="477"/>
      <c r="H773" s="477"/>
      <c r="I773" s="477"/>
      <c r="J773" s="349"/>
      <c r="K773" s="441"/>
      <c r="L773" s="63">
        <f t="shared" si="54"/>
        <v>60484.050000000047</v>
      </c>
    </row>
    <row r="774" spans="2:12" ht="15" customHeight="1" x14ac:dyDescent="0.2">
      <c r="B774" s="10"/>
      <c r="C774" s="77"/>
      <c r="D774" s="77"/>
      <c r="E774" s="3"/>
      <c r="F774" s="16"/>
      <c r="G774" s="477"/>
      <c r="H774" s="477"/>
      <c r="I774" s="477"/>
      <c r="J774" s="349"/>
      <c r="K774" s="61"/>
      <c r="L774" s="63">
        <f t="shared" si="54"/>
        <v>60484.050000000047</v>
      </c>
    </row>
    <row r="775" spans="2:12" ht="15" customHeight="1" x14ac:dyDescent="0.2">
      <c r="B775" s="10"/>
      <c r="C775" s="77"/>
      <c r="D775" s="77"/>
      <c r="E775" s="3"/>
      <c r="F775" s="16"/>
      <c r="G775" s="477"/>
      <c r="H775" s="477"/>
      <c r="I775" s="477"/>
      <c r="J775" s="349"/>
      <c r="K775" s="12"/>
      <c r="L775" s="63">
        <f t="shared" si="54"/>
        <v>60484.050000000047</v>
      </c>
    </row>
    <row r="776" spans="2:12" ht="15" customHeight="1" x14ac:dyDescent="0.2">
      <c r="B776" s="10"/>
      <c r="C776" s="77"/>
      <c r="D776" s="77"/>
      <c r="E776" s="3"/>
      <c r="F776" s="16"/>
      <c r="G776" s="478"/>
      <c r="H776" s="478"/>
      <c r="I776" s="478"/>
      <c r="J776" s="349"/>
      <c r="K776" s="70"/>
      <c r="L776" s="63">
        <f t="shared" si="54"/>
        <v>60484.050000000047</v>
      </c>
    </row>
    <row r="777" spans="2:12" x14ac:dyDescent="0.2">
      <c r="B777" s="10"/>
      <c r="C777" s="77"/>
      <c r="D777" s="77"/>
      <c r="E777" s="3"/>
      <c r="F777" s="16"/>
      <c r="G777" s="479"/>
      <c r="H777" s="479"/>
      <c r="I777" s="479"/>
      <c r="J777" s="349"/>
      <c r="K777" s="70"/>
      <c r="L777" s="63">
        <f t="shared" si="54"/>
        <v>60484.050000000047</v>
      </c>
    </row>
    <row r="778" spans="2:12" x14ac:dyDescent="0.2">
      <c r="B778" s="10"/>
      <c r="C778" s="77"/>
      <c r="D778" s="77"/>
      <c r="E778" s="3"/>
      <c r="F778" s="16"/>
      <c r="G778" s="479"/>
      <c r="H778" s="479"/>
      <c r="I778" s="479"/>
      <c r="J778" s="349"/>
      <c r="K778" s="70"/>
      <c r="L778" s="63">
        <f t="shared" si="54"/>
        <v>60484.050000000047</v>
      </c>
    </row>
    <row r="779" spans="2:12" x14ac:dyDescent="0.2">
      <c r="B779" s="10"/>
      <c r="C779" s="77"/>
      <c r="D779" s="77"/>
      <c r="E779" s="3"/>
      <c r="F779" s="16"/>
      <c r="G779" s="480"/>
      <c r="H779" s="480"/>
      <c r="I779" s="480"/>
      <c r="J779" s="349"/>
      <c r="K779" s="70"/>
      <c r="L779" s="63">
        <f t="shared" si="54"/>
        <v>60484.050000000047</v>
      </c>
    </row>
    <row r="780" spans="2:12" x14ac:dyDescent="0.2">
      <c r="B780" s="10"/>
      <c r="C780" s="77"/>
      <c r="D780" s="77"/>
      <c r="E780" s="3"/>
      <c r="F780" s="16"/>
      <c r="G780" s="375"/>
      <c r="H780" s="568"/>
      <c r="I780" s="570"/>
      <c r="J780" s="349"/>
      <c r="K780" s="70"/>
      <c r="L780" s="63">
        <f t="shared" si="54"/>
        <v>60484.050000000047</v>
      </c>
    </row>
    <row r="781" spans="2:12" x14ac:dyDescent="0.2">
      <c r="B781" s="10"/>
      <c r="C781" s="77"/>
      <c r="D781" s="77"/>
      <c r="E781" s="3"/>
      <c r="F781" s="16"/>
      <c r="G781" s="375"/>
      <c r="H781" s="376"/>
      <c r="I781" s="475"/>
      <c r="J781" s="349"/>
      <c r="K781" s="70"/>
      <c r="L781" s="63">
        <f t="shared" si="54"/>
        <v>60484.050000000047</v>
      </c>
    </row>
    <row r="782" spans="2:12" ht="12.75" thickBot="1" x14ac:dyDescent="0.25">
      <c r="B782" s="64"/>
      <c r="C782" s="65"/>
      <c r="D782" s="65"/>
      <c r="E782" s="13"/>
      <c r="F782" s="13"/>
      <c r="G782" s="104"/>
      <c r="H782" s="84"/>
      <c r="I782" s="12"/>
      <c r="J782" s="12"/>
      <c r="K782" s="12"/>
      <c r="L782" s="63"/>
    </row>
    <row r="783" spans="2:12" x14ac:dyDescent="0.2">
      <c r="B783" s="56"/>
      <c r="C783" s="57"/>
      <c r="D783" s="57"/>
      <c r="E783" s="5"/>
      <c r="F783" s="5"/>
      <c r="G783" s="85" t="s">
        <v>34</v>
      </c>
      <c r="H783" s="107">
        <f>SUM(H735:H766)</f>
        <v>0</v>
      </c>
      <c r="I783" s="105">
        <f>SUM(I735:I766)</f>
        <v>0</v>
      </c>
      <c r="J783" s="106">
        <f>SUM(J735:J766)</f>
        <v>0</v>
      </c>
      <c r="K783" s="106">
        <f>SUM(K771:K780)</f>
        <v>0</v>
      </c>
      <c r="L783" s="108"/>
    </row>
    <row r="784" spans="2:12" ht="12.75" thickBot="1" x14ac:dyDescent="0.25">
      <c r="B784" s="71"/>
      <c r="C784" s="72"/>
      <c r="D784" s="72"/>
      <c r="E784" s="73"/>
      <c r="F784" s="73"/>
      <c r="G784" s="86" t="s">
        <v>13</v>
      </c>
      <c r="H784" s="100"/>
      <c r="I784" s="99"/>
      <c r="J784" s="87"/>
      <c r="K784" s="87"/>
      <c r="L784" s="88">
        <f>+J783-K783+L734</f>
        <v>60484.050000000047</v>
      </c>
    </row>
    <row r="785" spans="2:12" x14ac:dyDescent="0.2">
      <c r="B785" s="25"/>
      <c r="H785" s="74"/>
      <c r="I785" s="25"/>
      <c r="L785" s="25"/>
    </row>
    <row r="786" spans="2:12" ht="12" customHeight="1" x14ac:dyDescent="0.2">
      <c r="B786" s="544" t="s">
        <v>48</v>
      </c>
      <c r="C786" s="545"/>
      <c r="D786" s="545"/>
      <c r="E786" s="545"/>
      <c r="F786" s="545"/>
      <c r="G786" s="545"/>
      <c r="H786" s="545"/>
      <c r="I786" s="545"/>
      <c r="J786" s="545"/>
      <c r="K786" s="545"/>
      <c r="L786" s="546"/>
    </row>
    <row r="787" spans="2:12" x14ac:dyDescent="0.2">
      <c r="B787" s="547" t="s">
        <v>703</v>
      </c>
      <c r="C787" s="548"/>
      <c r="D787" s="548"/>
      <c r="E787" s="548"/>
      <c r="F787" s="548"/>
      <c r="G787" s="548"/>
      <c r="H787" s="548"/>
      <c r="I787" s="548"/>
      <c r="J787" s="548"/>
      <c r="K787" s="548"/>
      <c r="L787" s="549"/>
    </row>
    <row r="788" spans="2:12" x14ac:dyDescent="0.2">
      <c r="B788" s="550" t="s">
        <v>50</v>
      </c>
      <c r="C788" s="550"/>
      <c r="D788" s="551" t="s">
        <v>51</v>
      </c>
      <c r="E788" s="551"/>
      <c r="F788" s="551"/>
      <c r="G788" s="472"/>
      <c r="H788" s="472"/>
      <c r="I788" s="472"/>
      <c r="J788" s="472"/>
      <c r="K788" s="472"/>
      <c r="L788" s="473"/>
    </row>
    <row r="789" spans="2:12" ht="24" x14ac:dyDescent="0.2">
      <c r="B789" s="56" t="s">
        <v>1</v>
      </c>
      <c r="C789" s="57" t="s">
        <v>2</v>
      </c>
      <c r="D789" s="57" t="s">
        <v>2</v>
      </c>
      <c r="E789" s="5" t="s">
        <v>3</v>
      </c>
      <c r="F789" s="5" t="s">
        <v>4</v>
      </c>
      <c r="G789" s="89" t="s">
        <v>6</v>
      </c>
      <c r="H789" s="83" t="s">
        <v>7</v>
      </c>
      <c r="I789" s="83" t="s">
        <v>52</v>
      </c>
      <c r="J789" s="83" t="s">
        <v>53</v>
      </c>
      <c r="K789" s="5" t="s">
        <v>10</v>
      </c>
      <c r="L789" s="5" t="s">
        <v>11</v>
      </c>
    </row>
    <row r="790" spans="2:12" x14ac:dyDescent="0.2">
      <c r="B790" s="58"/>
      <c r="C790" s="59"/>
      <c r="D790" s="59"/>
      <c r="E790" s="13"/>
      <c r="F790" s="13"/>
      <c r="G790" s="24"/>
      <c r="H790" s="60"/>
      <c r="I790" s="61"/>
      <c r="J790" s="61"/>
      <c r="K790" s="61"/>
      <c r="L790" s="60">
        <f>L784</f>
        <v>60484.050000000047</v>
      </c>
    </row>
    <row r="791" spans="2:12" x14ac:dyDescent="0.2">
      <c r="B791" s="110"/>
      <c r="C791" s="353"/>
      <c r="D791" s="11"/>
      <c r="E791" s="15"/>
      <c r="F791" s="394"/>
      <c r="G791" s="15"/>
      <c r="H791" s="112"/>
      <c r="I791" s="12">
        <f>H791*0.32</f>
        <v>0</v>
      </c>
      <c r="J791" s="12">
        <f>H791*0.68</f>
        <v>0</v>
      </c>
      <c r="K791" s="12"/>
      <c r="L791" s="63">
        <f>+J791-K791+L790</f>
        <v>60484.050000000047</v>
      </c>
    </row>
    <row r="792" spans="2:12" x14ac:dyDescent="0.2">
      <c r="B792" s="110"/>
      <c r="C792" s="353"/>
      <c r="D792" s="11"/>
      <c r="E792" s="15"/>
      <c r="F792" s="15"/>
      <c r="G792" s="15"/>
      <c r="H792" s="112"/>
      <c r="I792" s="12">
        <f t="shared" ref="I792:I832" si="55">H792*0.32</f>
        <v>0</v>
      </c>
      <c r="J792" s="12">
        <f t="shared" ref="J792:J832" si="56">H792*0.68</f>
        <v>0</v>
      </c>
      <c r="K792" s="12"/>
      <c r="L792" s="63">
        <f t="shared" ref="L792:L801" si="57">+J792-K792+L791</f>
        <v>60484.050000000047</v>
      </c>
    </row>
    <row r="793" spans="2:12" x14ac:dyDescent="0.2">
      <c r="B793" s="110"/>
      <c r="C793" s="353"/>
      <c r="D793" s="11"/>
      <c r="E793" s="15"/>
      <c r="F793" s="15"/>
      <c r="G793" s="15"/>
      <c r="H793" s="112"/>
      <c r="I793" s="12">
        <f t="shared" si="55"/>
        <v>0</v>
      </c>
      <c r="J793" s="12">
        <f t="shared" si="56"/>
        <v>0</v>
      </c>
      <c r="K793" s="12"/>
      <c r="L793" s="63">
        <f t="shared" si="57"/>
        <v>60484.050000000047</v>
      </c>
    </row>
    <row r="794" spans="2:12" x14ac:dyDescent="0.2">
      <c r="B794" s="110"/>
      <c r="C794" s="353"/>
      <c r="D794" s="11"/>
      <c r="E794" s="15"/>
      <c r="F794" s="15"/>
      <c r="G794" s="15"/>
      <c r="H794" s="112"/>
      <c r="I794" s="12">
        <f t="shared" si="55"/>
        <v>0</v>
      </c>
      <c r="J794" s="12">
        <f t="shared" si="56"/>
        <v>0</v>
      </c>
      <c r="K794" s="12"/>
      <c r="L794" s="63">
        <f t="shared" si="57"/>
        <v>60484.050000000047</v>
      </c>
    </row>
    <row r="795" spans="2:12" x14ac:dyDescent="0.2">
      <c r="B795" s="110"/>
      <c r="C795" s="353"/>
      <c r="D795" s="11"/>
      <c r="E795" s="15"/>
      <c r="F795" s="15"/>
      <c r="G795" s="15"/>
      <c r="H795" s="112"/>
      <c r="I795" s="12">
        <f t="shared" si="55"/>
        <v>0</v>
      </c>
      <c r="J795" s="12">
        <f t="shared" si="56"/>
        <v>0</v>
      </c>
      <c r="K795" s="12"/>
      <c r="L795" s="63">
        <f t="shared" si="57"/>
        <v>60484.050000000047</v>
      </c>
    </row>
    <row r="796" spans="2:12" x14ac:dyDescent="0.2">
      <c r="B796" s="110"/>
      <c r="C796" s="353"/>
      <c r="D796" s="11"/>
      <c r="E796" s="15"/>
      <c r="F796" s="15"/>
      <c r="G796" s="15"/>
      <c r="H796" s="112"/>
      <c r="I796" s="12">
        <f t="shared" si="55"/>
        <v>0</v>
      </c>
      <c r="J796" s="12">
        <f t="shared" si="56"/>
        <v>0</v>
      </c>
      <c r="K796" s="12"/>
      <c r="L796" s="63">
        <f t="shared" si="57"/>
        <v>60484.050000000047</v>
      </c>
    </row>
    <row r="797" spans="2:12" x14ac:dyDescent="0.2">
      <c r="B797" s="110"/>
      <c r="C797" s="353"/>
      <c r="D797" s="11"/>
      <c r="E797" s="15"/>
      <c r="F797" s="15"/>
      <c r="G797" s="15"/>
      <c r="H797" s="112"/>
      <c r="I797" s="12">
        <f t="shared" si="55"/>
        <v>0</v>
      </c>
      <c r="J797" s="12">
        <f t="shared" si="56"/>
        <v>0</v>
      </c>
      <c r="K797" s="12"/>
      <c r="L797" s="63">
        <f t="shared" si="57"/>
        <v>60484.050000000047</v>
      </c>
    </row>
    <row r="798" spans="2:12" x14ac:dyDescent="0.2">
      <c r="B798" s="110"/>
      <c r="C798" s="353"/>
      <c r="D798" s="77"/>
      <c r="E798" s="15"/>
      <c r="F798" s="15"/>
      <c r="G798" s="15"/>
      <c r="H798" s="112"/>
      <c r="I798" s="12">
        <f t="shared" si="55"/>
        <v>0</v>
      </c>
      <c r="J798" s="12">
        <f t="shared" si="56"/>
        <v>0</v>
      </c>
      <c r="K798" s="12"/>
      <c r="L798" s="63">
        <f t="shared" si="57"/>
        <v>60484.050000000047</v>
      </c>
    </row>
    <row r="799" spans="2:12" x14ac:dyDescent="0.2">
      <c r="B799" s="110"/>
      <c r="C799" s="353"/>
      <c r="D799" s="11"/>
      <c r="E799" s="15"/>
      <c r="F799" s="15"/>
      <c r="G799" s="15"/>
      <c r="H799" s="112"/>
      <c r="I799" s="12">
        <f t="shared" si="55"/>
        <v>0</v>
      </c>
      <c r="J799" s="12">
        <f t="shared" si="56"/>
        <v>0</v>
      </c>
      <c r="K799" s="12"/>
      <c r="L799" s="63">
        <f t="shared" si="57"/>
        <v>60484.050000000047</v>
      </c>
    </row>
    <row r="800" spans="2:12" x14ac:dyDescent="0.2">
      <c r="B800" s="110"/>
      <c r="C800" s="353"/>
      <c r="D800" s="11"/>
      <c r="E800" s="15"/>
      <c r="F800" s="15"/>
      <c r="G800" s="15"/>
      <c r="H800" s="112"/>
      <c r="I800" s="12">
        <f t="shared" si="55"/>
        <v>0</v>
      </c>
      <c r="J800" s="12">
        <f t="shared" si="56"/>
        <v>0</v>
      </c>
      <c r="K800" s="12"/>
      <c r="L800" s="63">
        <f t="shared" si="57"/>
        <v>60484.050000000047</v>
      </c>
    </row>
    <row r="801" spans="2:12" x14ac:dyDescent="0.2">
      <c r="B801" s="110"/>
      <c r="C801" s="353"/>
      <c r="D801" s="11"/>
      <c r="E801" s="15"/>
      <c r="F801" s="15"/>
      <c r="G801" s="15"/>
      <c r="H801" s="112"/>
      <c r="I801" s="12">
        <f t="shared" si="55"/>
        <v>0</v>
      </c>
      <c r="J801" s="12">
        <f t="shared" si="56"/>
        <v>0</v>
      </c>
      <c r="K801" s="12"/>
      <c r="L801" s="63">
        <f t="shared" si="57"/>
        <v>60484.050000000047</v>
      </c>
    </row>
    <row r="802" spans="2:12" x14ac:dyDescent="0.2">
      <c r="B802" s="110"/>
      <c r="C802" s="353"/>
      <c r="D802" s="65"/>
      <c r="E802" s="13"/>
      <c r="F802" s="15"/>
      <c r="G802" s="15"/>
      <c r="H802" s="112"/>
      <c r="I802" s="12">
        <f t="shared" si="55"/>
        <v>0</v>
      </c>
      <c r="J802" s="12">
        <f t="shared" si="56"/>
        <v>0</v>
      </c>
      <c r="K802" s="12"/>
      <c r="L802" s="63">
        <f>+J802-K802+L801</f>
        <v>60484.050000000047</v>
      </c>
    </row>
    <row r="803" spans="2:12" x14ac:dyDescent="0.2">
      <c r="B803" s="110"/>
      <c r="C803" s="353"/>
      <c r="D803" s="65"/>
      <c r="E803" s="13"/>
      <c r="F803" s="15"/>
      <c r="G803" s="15"/>
      <c r="H803" s="112"/>
      <c r="I803" s="12">
        <f t="shared" si="55"/>
        <v>0</v>
      </c>
      <c r="J803" s="12">
        <f t="shared" si="56"/>
        <v>0</v>
      </c>
      <c r="K803" s="12"/>
      <c r="L803" s="63">
        <f t="shared" ref="L803:L855" si="58">+J803-K803+L802</f>
        <v>60484.050000000047</v>
      </c>
    </row>
    <row r="804" spans="2:12" x14ac:dyDescent="0.2">
      <c r="B804" s="110"/>
      <c r="C804" s="353"/>
      <c r="D804" s="65"/>
      <c r="E804" s="13"/>
      <c r="F804" s="15"/>
      <c r="G804" s="15"/>
      <c r="H804" s="112"/>
      <c r="I804" s="12">
        <f t="shared" si="55"/>
        <v>0</v>
      </c>
      <c r="J804" s="12">
        <f t="shared" si="56"/>
        <v>0</v>
      </c>
      <c r="K804" s="12"/>
      <c r="L804" s="63">
        <f t="shared" si="58"/>
        <v>60484.050000000047</v>
      </c>
    </row>
    <row r="805" spans="2:12" x14ac:dyDescent="0.2">
      <c r="B805" s="110"/>
      <c r="C805" s="353"/>
      <c r="D805" s="65"/>
      <c r="E805" s="13"/>
      <c r="F805" s="15"/>
      <c r="G805" s="15"/>
      <c r="H805" s="112"/>
      <c r="I805" s="12">
        <f t="shared" si="55"/>
        <v>0</v>
      </c>
      <c r="J805" s="12">
        <f t="shared" si="56"/>
        <v>0</v>
      </c>
      <c r="K805" s="12"/>
      <c r="L805" s="63">
        <f t="shared" si="58"/>
        <v>60484.050000000047</v>
      </c>
    </row>
    <row r="806" spans="2:12" x14ac:dyDescent="0.2">
      <c r="B806" s="110"/>
      <c r="C806" s="353"/>
      <c r="D806" s="65"/>
      <c r="E806" s="13"/>
      <c r="F806" s="15"/>
      <c r="G806" s="15"/>
      <c r="H806" s="112"/>
      <c r="I806" s="12">
        <f t="shared" si="55"/>
        <v>0</v>
      </c>
      <c r="J806" s="12">
        <f t="shared" si="56"/>
        <v>0</v>
      </c>
      <c r="K806" s="12"/>
      <c r="L806" s="63">
        <f t="shared" si="58"/>
        <v>60484.050000000047</v>
      </c>
    </row>
    <row r="807" spans="2:12" x14ac:dyDescent="0.2">
      <c r="B807" s="110"/>
      <c r="C807" s="353"/>
      <c r="D807" s="65"/>
      <c r="E807" s="13"/>
      <c r="F807" s="15"/>
      <c r="G807" s="15"/>
      <c r="H807" s="112"/>
      <c r="I807" s="12">
        <f t="shared" si="55"/>
        <v>0</v>
      </c>
      <c r="J807" s="12">
        <f t="shared" si="56"/>
        <v>0</v>
      </c>
      <c r="K807" s="12"/>
      <c r="L807" s="63">
        <f t="shared" si="58"/>
        <v>60484.050000000047</v>
      </c>
    </row>
    <row r="808" spans="2:12" x14ac:dyDescent="0.2">
      <c r="B808" s="110"/>
      <c r="C808" s="353"/>
      <c r="D808" s="65"/>
      <c r="E808" s="13"/>
      <c r="F808" s="15"/>
      <c r="G808" s="15"/>
      <c r="H808" s="112"/>
      <c r="I808" s="12">
        <f t="shared" si="55"/>
        <v>0</v>
      </c>
      <c r="J808" s="12">
        <f t="shared" si="56"/>
        <v>0</v>
      </c>
      <c r="K808" s="12"/>
      <c r="L808" s="63">
        <f t="shared" si="58"/>
        <v>60484.050000000047</v>
      </c>
    </row>
    <row r="809" spans="2:12" x14ac:dyDescent="0.2">
      <c r="B809" s="110"/>
      <c r="C809" s="353"/>
      <c r="D809" s="65"/>
      <c r="E809" s="13"/>
      <c r="F809" s="15"/>
      <c r="G809" s="15"/>
      <c r="H809" s="112"/>
      <c r="I809" s="12">
        <f t="shared" si="55"/>
        <v>0</v>
      </c>
      <c r="J809" s="12">
        <f t="shared" si="56"/>
        <v>0</v>
      </c>
      <c r="K809" s="12"/>
      <c r="L809" s="63">
        <f t="shared" si="58"/>
        <v>60484.050000000047</v>
      </c>
    </row>
    <row r="810" spans="2:12" x14ac:dyDescent="0.2">
      <c r="B810" s="110"/>
      <c r="C810" s="353"/>
      <c r="D810" s="65"/>
      <c r="E810" s="13"/>
      <c r="F810" s="15"/>
      <c r="G810" s="15"/>
      <c r="H810" s="112"/>
      <c r="I810" s="12">
        <f t="shared" si="55"/>
        <v>0</v>
      </c>
      <c r="J810" s="12">
        <f t="shared" si="56"/>
        <v>0</v>
      </c>
      <c r="K810" s="12"/>
      <c r="L810" s="63">
        <f t="shared" si="58"/>
        <v>60484.050000000047</v>
      </c>
    </row>
    <row r="811" spans="2:12" x14ac:dyDescent="0.2">
      <c r="B811" s="110"/>
      <c r="C811" s="353"/>
      <c r="D811" s="65"/>
      <c r="E811" s="13"/>
      <c r="F811" s="15"/>
      <c r="G811" s="15"/>
      <c r="H811" s="112"/>
      <c r="I811" s="12">
        <f t="shared" si="55"/>
        <v>0</v>
      </c>
      <c r="J811" s="12">
        <f t="shared" si="56"/>
        <v>0</v>
      </c>
      <c r="K811" s="12"/>
      <c r="L811" s="63">
        <f t="shared" si="58"/>
        <v>60484.050000000047</v>
      </c>
    </row>
    <row r="812" spans="2:12" x14ac:dyDescent="0.2">
      <c r="B812" s="110"/>
      <c r="C812" s="353"/>
      <c r="D812" s="65"/>
      <c r="E812" s="13"/>
      <c r="F812" s="15"/>
      <c r="G812" s="15"/>
      <c r="H812" s="112"/>
      <c r="I812" s="12">
        <f t="shared" si="55"/>
        <v>0</v>
      </c>
      <c r="J812" s="12">
        <f t="shared" si="56"/>
        <v>0</v>
      </c>
      <c r="K812" s="12"/>
      <c r="L812" s="63">
        <f t="shared" si="58"/>
        <v>60484.050000000047</v>
      </c>
    </row>
    <row r="813" spans="2:12" x14ac:dyDescent="0.2">
      <c r="B813" s="110"/>
      <c r="C813" s="353"/>
      <c r="D813" s="65"/>
      <c r="E813" s="13"/>
      <c r="F813" s="15"/>
      <c r="G813" s="15"/>
      <c r="H813" s="112"/>
      <c r="I813" s="12">
        <f t="shared" si="55"/>
        <v>0</v>
      </c>
      <c r="J813" s="12">
        <f t="shared" si="56"/>
        <v>0</v>
      </c>
      <c r="K813" s="12"/>
      <c r="L813" s="63">
        <f t="shared" si="58"/>
        <v>60484.050000000047</v>
      </c>
    </row>
    <row r="814" spans="2:12" x14ac:dyDescent="0.2">
      <c r="B814" s="110"/>
      <c r="C814" s="353"/>
      <c r="D814" s="65"/>
      <c r="E814" s="13"/>
      <c r="F814" s="15"/>
      <c r="G814" s="15"/>
      <c r="H814" s="112"/>
      <c r="I814" s="12">
        <f t="shared" si="55"/>
        <v>0</v>
      </c>
      <c r="J814" s="12">
        <f t="shared" si="56"/>
        <v>0</v>
      </c>
      <c r="K814" s="12"/>
      <c r="L814" s="63">
        <f t="shared" si="58"/>
        <v>60484.050000000047</v>
      </c>
    </row>
    <row r="815" spans="2:12" x14ac:dyDescent="0.2">
      <c r="B815" s="110"/>
      <c r="C815" s="353"/>
      <c r="D815" s="65"/>
      <c r="E815" s="13"/>
      <c r="F815" s="15"/>
      <c r="G815" s="15"/>
      <c r="H815" s="112"/>
      <c r="I815" s="12">
        <f t="shared" si="55"/>
        <v>0</v>
      </c>
      <c r="J815" s="12">
        <f t="shared" si="56"/>
        <v>0</v>
      </c>
      <c r="K815" s="12"/>
      <c r="L815" s="63">
        <f t="shared" si="58"/>
        <v>60484.050000000047</v>
      </c>
    </row>
    <row r="816" spans="2:12" ht="12.75" x14ac:dyDescent="0.2">
      <c r="B816" s="110"/>
      <c r="C816" s="353"/>
      <c r="D816" s="469"/>
      <c r="E816" s="13"/>
      <c r="F816" s="15"/>
      <c r="G816" s="15"/>
      <c r="H816" s="112"/>
      <c r="I816" s="12">
        <f t="shared" si="55"/>
        <v>0</v>
      </c>
      <c r="J816" s="12">
        <f t="shared" si="56"/>
        <v>0</v>
      </c>
      <c r="K816" s="12"/>
      <c r="L816" s="63">
        <f t="shared" si="58"/>
        <v>60484.050000000047</v>
      </c>
    </row>
    <row r="817" spans="2:12" ht="12.75" x14ac:dyDescent="0.2">
      <c r="B817" s="110"/>
      <c r="C817" s="353"/>
      <c r="D817" s="470"/>
      <c r="E817" s="13"/>
      <c r="F817" s="15"/>
      <c r="G817" s="15"/>
      <c r="H817" s="112"/>
      <c r="I817" s="12">
        <f t="shared" si="55"/>
        <v>0</v>
      </c>
      <c r="J817" s="12">
        <f t="shared" si="56"/>
        <v>0</v>
      </c>
      <c r="K817" s="12"/>
      <c r="L817" s="63">
        <f t="shared" si="58"/>
        <v>60484.050000000047</v>
      </c>
    </row>
    <row r="818" spans="2:12" ht="12.75" x14ac:dyDescent="0.2">
      <c r="B818" s="110"/>
      <c r="C818" s="353"/>
      <c r="D818" s="470"/>
      <c r="E818" s="13"/>
      <c r="F818" s="15"/>
      <c r="G818" s="15"/>
      <c r="H818" s="112"/>
      <c r="I818" s="12">
        <f t="shared" si="55"/>
        <v>0</v>
      </c>
      <c r="J818" s="12">
        <f t="shared" si="56"/>
        <v>0</v>
      </c>
      <c r="K818" s="12"/>
      <c r="L818" s="63">
        <f t="shared" si="58"/>
        <v>60484.050000000047</v>
      </c>
    </row>
    <row r="819" spans="2:12" ht="12.75" x14ac:dyDescent="0.2">
      <c r="B819" s="110"/>
      <c r="C819" s="353"/>
      <c r="D819" s="470"/>
      <c r="E819" s="13"/>
      <c r="F819" s="15"/>
      <c r="G819" s="15"/>
      <c r="H819" s="112"/>
      <c r="I819" s="12">
        <f t="shared" si="55"/>
        <v>0</v>
      </c>
      <c r="J819" s="12">
        <f t="shared" si="56"/>
        <v>0</v>
      </c>
      <c r="K819" s="12"/>
      <c r="L819" s="63">
        <f t="shared" si="58"/>
        <v>60484.050000000047</v>
      </c>
    </row>
    <row r="820" spans="2:12" x14ac:dyDescent="0.2">
      <c r="B820" s="110"/>
      <c r="C820" s="353"/>
      <c r="D820" s="65"/>
      <c r="E820" s="13"/>
      <c r="F820" s="15"/>
      <c r="G820" s="15"/>
      <c r="H820" s="112"/>
      <c r="I820" s="12">
        <f t="shared" si="55"/>
        <v>0</v>
      </c>
      <c r="J820" s="12">
        <f t="shared" si="56"/>
        <v>0</v>
      </c>
      <c r="K820" s="12"/>
      <c r="L820" s="63">
        <f t="shared" si="58"/>
        <v>60484.050000000047</v>
      </c>
    </row>
    <row r="821" spans="2:12" x14ac:dyDescent="0.2">
      <c r="B821" s="110"/>
      <c r="C821" s="353"/>
      <c r="D821" s="65"/>
      <c r="E821" s="13"/>
      <c r="F821" s="15"/>
      <c r="G821" s="15"/>
      <c r="H821" s="112"/>
      <c r="I821" s="12">
        <f t="shared" si="55"/>
        <v>0</v>
      </c>
      <c r="J821" s="12">
        <f t="shared" si="56"/>
        <v>0</v>
      </c>
      <c r="K821" s="12"/>
      <c r="L821" s="63">
        <f t="shared" si="58"/>
        <v>60484.050000000047</v>
      </c>
    </row>
    <row r="822" spans="2:12" x14ac:dyDescent="0.2">
      <c r="B822" s="110"/>
      <c r="C822" s="353"/>
      <c r="D822" s="65"/>
      <c r="E822" s="13"/>
      <c r="F822" s="15"/>
      <c r="G822" s="15"/>
      <c r="H822" s="112"/>
      <c r="I822" s="12">
        <f t="shared" si="55"/>
        <v>0</v>
      </c>
      <c r="J822" s="12">
        <f t="shared" si="56"/>
        <v>0</v>
      </c>
      <c r="K822" s="12"/>
      <c r="L822" s="63">
        <f t="shared" si="58"/>
        <v>60484.050000000047</v>
      </c>
    </row>
    <row r="823" spans="2:12" x14ac:dyDescent="0.2">
      <c r="B823" s="110"/>
      <c r="C823" s="353"/>
      <c r="D823" s="65"/>
      <c r="E823" s="13"/>
      <c r="F823" s="15"/>
      <c r="G823" s="15"/>
      <c r="H823" s="112"/>
      <c r="I823" s="12">
        <f t="shared" si="55"/>
        <v>0</v>
      </c>
      <c r="J823" s="12">
        <f t="shared" si="56"/>
        <v>0</v>
      </c>
      <c r="K823" s="12"/>
      <c r="L823" s="63">
        <f t="shared" si="58"/>
        <v>60484.050000000047</v>
      </c>
    </row>
    <row r="824" spans="2:12" x14ac:dyDescent="0.2">
      <c r="B824" s="110"/>
      <c r="C824" s="353"/>
      <c r="D824" s="65"/>
      <c r="E824" s="13"/>
      <c r="F824" s="15"/>
      <c r="G824" s="15"/>
      <c r="H824" s="112"/>
      <c r="I824" s="12">
        <f t="shared" si="55"/>
        <v>0</v>
      </c>
      <c r="J824" s="12">
        <f t="shared" si="56"/>
        <v>0</v>
      </c>
      <c r="K824" s="12"/>
      <c r="L824" s="63">
        <f t="shared" si="58"/>
        <v>60484.050000000047</v>
      </c>
    </row>
    <row r="825" spans="2:12" x14ac:dyDescent="0.2">
      <c r="B825" s="110"/>
      <c r="C825" s="353"/>
      <c r="D825" s="65"/>
      <c r="E825" s="13"/>
      <c r="F825" s="15"/>
      <c r="G825" s="15"/>
      <c r="H825" s="112"/>
      <c r="I825" s="12">
        <f t="shared" si="55"/>
        <v>0</v>
      </c>
      <c r="J825" s="12">
        <f t="shared" si="56"/>
        <v>0</v>
      </c>
      <c r="K825" s="12"/>
      <c r="L825" s="63">
        <f t="shared" si="58"/>
        <v>60484.050000000047</v>
      </c>
    </row>
    <row r="826" spans="2:12" x14ac:dyDescent="0.2">
      <c r="B826" s="110"/>
      <c r="C826" s="353"/>
      <c r="D826" s="65"/>
      <c r="E826" s="13"/>
      <c r="F826" s="15"/>
      <c r="G826" s="15"/>
      <c r="H826" s="112"/>
      <c r="I826" s="12">
        <f t="shared" si="55"/>
        <v>0</v>
      </c>
      <c r="J826" s="12">
        <f t="shared" si="56"/>
        <v>0</v>
      </c>
      <c r="K826" s="12"/>
      <c r="L826" s="63">
        <f t="shared" si="58"/>
        <v>60484.050000000047</v>
      </c>
    </row>
    <row r="827" spans="2:12" x14ac:dyDescent="0.2">
      <c r="B827" s="110"/>
      <c r="C827" s="353"/>
      <c r="D827" s="65"/>
      <c r="E827" s="13"/>
      <c r="F827" s="15"/>
      <c r="G827" s="15"/>
      <c r="H827" s="112"/>
      <c r="I827" s="12">
        <f t="shared" si="55"/>
        <v>0</v>
      </c>
      <c r="J827" s="12">
        <f t="shared" si="56"/>
        <v>0</v>
      </c>
      <c r="K827" s="12"/>
      <c r="L827" s="63">
        <f t="shared" si="58"/>
        <v>60484.050000000047</v>
      </c>
    </row>
    <row r="828" spans="2:12" x14ac:dyDescent="0.2">
      <c r="B828" s="110"/>
      <c r="C828" s="353"/>
      <c r="D828" s="65"/>
      <c r="E828" s="13"/>
      <c r="F828" s="15"/>
      <c r="G828" s="15"/>
      <c r="H828" s="112"/>
      <c r="I828" s="12">
        <f t="shared" si="55"/>
        <v>0</v>
      </c>
      <c r="J828" s="12">
        <f t="shared" si="56"/>
        <v>0</v>
      </c>
      <c r="K828" s="12"/>
      <c r="L828" s="63">
        <f t="shared" si="58"/>
        <v>60484.050000000047</v>
      </c>
    </row>
    <row r="829" spans="2:12" x14ac:dyDescent="0.2">
      <c r="B829" s="110"/>
      <c r="C829" s="353"/>
      <c r="D829" s="65"/>
      <c r="E829" s="13"/>
      <c r="F829" s="15"/>
      <c r="G829" s="15"/>
      <c r="H829" s="112"/>
      <c r="I829" s="12">
        <f t="shared" si="55"/>
        <v>0</v>
      </c>
      <c r="J829" s="12">
        <f t="shared" si="56"/>
        <v>0</v>
      </c>
      <c r="K829" s="12"/>
      <c r="L829" s="63">
        <f t="shared" si="58"/>
        <v>60484.050000000047</v>
      </c>
    </row>
    <row r="830" spans="2:12" x14ac:dyDescent="0.2">
      <c r="B830" s="110"/>
      <c r="C830" s="353"/>
      <c r="D830" s="65"/>
      <c r="E830" s="13"/>
      <c r="F830" s="15"/>
      <c r="G830" s="15"/>
      <c r="H830" s="112"/>
      <c r="I830" s="12">
        <f t="shared" si="55"/>
        <v>0</v>
      </c>
      <c r="J830" s="12">
        <f t="shared" si="56"/>
        <v>0</v>
      </c>
      <c r="K830" s="12"/>
      <c r="L830" s="63">
        <f t="shared" si="58"/>
        <v>60484.050000000047</v>
      </c>
    </row>
    <row r="831" spans="2:12" x14ac:dyDescent="0.2">
      <c r="B831" s="110"/>
      <c r="C831" s="353"/>
      <c r="D831" s="65"/>
      <c r="E831" s="13"/>
      <c r="F831" s="15"/>
      <c r="G831" s="15"/>
      <c r="H831" s="112"/>
      <c r="I831" s="12">
        <f t="shared" si="55"/>
        <v>0</v>
      </c>
      <c r="J831" s="12">
        <f t="shared" si="56"/>
        <v>0</v>
      </c>
      <c r="K831" s="12"/>
      <c r="L831" s="63">
        <f t="shared" si="58"/>
        <v>60484.050000000047</v>
      </c>
    </row>
    <row r="832" spans="2:12" x14ac:dyDescent="0.2">
      <c r="B832" s="110"/>
      <c r="C832" s="353"/>
      <c r="D832" s="65"/>
      <c r="E832" s="13"/>
      <c r="F832" s="15"/>
      <c r="G832" s="15"/>
      <c r="H832" s="112"/>
      <c r="I832" s="12">
        <f t="shared" si="55"/>
        <v>0</v>
      </c>
      <c r="J832" s="12">
        <f t="shared" si="56"/>
        <v>0</v>
      </c>
      <c r="K832" s="12"/>
      <c r="L832" s="63">
        <f t="shared" si="58"/>
        <v>60484.050000000047</v>
      </c>
    </row>
    <row r="833" spans="2:12" x14ac:dyDescent="0.2">
      <c r="B833" s="110"/>
      <c r="C833" s="65"/>
      <c r="D833" s="65"/>
      <c r="E833" s="13"/>
      <c r="F833" s="15"/>
      <c r="G833" s="66"/>
      <c r="H833" s="112"/>
      <c r="I833" s="12"/>
      <c r="J833" s="12"/>
      <c r="K833" s="12"/>
      <c r="L833" s="63">
        <f t="shared" si="58"/>
        <v>60484.050000000047</v>
      </c>
    </row>
    <row r="834" spans="2:12" x14ac:dyDescent="0.2">
      <c r="B834" s="547" t="s">
        <v>855</v>
      </c>
      <c r="C834" s="548"/>
      <c r="D834" s="548"/>
      <c r="E834" s="548"/>
      <c r="F834" s="548"/>
      <c r="G834" s="548"/>
      <c r="H834" s="548"/>
      <c r="I834" s="548"/>
      <c r="J834" s="548"/>
      <c r="K834" s="549"/>
      <c r="L834" s="63">
        <f t="shared" si="58"/>
        <v>60484.050000000047</v>
      </c>
    </row>
    <row r="835" spans="2:12" x14ac:dyDescent="0.2">
      <c r="B835" s="552" t="s">
        <v>56</v>
      </c>
      <c r="C835" s="553"/>
      <c r="D835" s="554" t="s">
        <v>51</v>
      </c>
      <c r="E835" s="554"/>
      <c r="F835" s="554"/>
      <c r="G835" s="94"/>
      <c r="H835" s="95"/>
      <c r="I835" s="96"/>
      <c r="J835" s="96"/>
      <c r="K835" s="97"/>
      <c r="L835" s="63">
        <f t="shared" si="58"/>
        <v>60484.050000000047</v>
      </c>
    </row>
    <row r="836" spans="2:12" x14ac:dyDescent="0.2">
      <c r="B836" s="91" t="s">
        <v>1</v>
      </c>
      <c r="C836" s="92" t="s">
        <v>57</v>
      </c>
      <c r="D836" s="92" t="s">
        <v>2</v>
      </c>
      <c r="E836" s="474" t="s">
        <v>3</v>
      </c>
      <c r="F836" s="474" t="s">
        <v>4</v>
      </c>
      <c r="G836" s="561" t="s">
        <v>58</v>
      </c>
      <c r="H836" s="562"/>
      <c r="I836" s="562"/>
      <c r="J836" s="563"/>
      <c r="K836" s="90"/>
      <c r="L836" s="63">
        <f t="shared" si="58"/>
        <v>60484.050000000047</v>
      </c>
    </row>
    <row r="837" spans="2:12" x14ac:dyDescent="0.2">
      <c r="B837" s="10"/>
      <c r="C837" s="77"/>
      <c r="D837" s="77"/>
      <c r="E837" s="3"/>
      <c r="F837" s="16"/>
      <c r="G837" s="476"/>
      <c r="H837" s="476"/>
      <c r="I837" s="476"/>
      <c r="J837" s="349"/>
      <c r="K837" s="70"/>
      <c r="L837" s="63">
        <f t="shared" si="58"/>
        <v>60484.050000000047</v>
      </c>
    </row>
    <row r="838" spans="2:12" ht="12" customHeight="1" x14ac:dyDescent="0.2">
      <c r="B838" s="10"/>
      <c r="C838" s="77"/>
      <c r="D838" s="77"/>
      <c r="E838" s="3"/>
      <c r="F838" s="16"/>
      <c r="G838" s="479"/>
      <c r="H838" s="479"/>
      <c r="I838" s="479"/>
      <c r="J838" s="349"/>
      <c r="K838" s="70"/>
      <c r="L838" s="63">
        <f t="shared" si="58"/>
        <v>60484.050000000047</v>
      </c>
    </row>
    <row r="839" spans="2:12" ht="12" customHeight="1" x14ac:dyDescent="0.2">
      <c r="B839" s="10"/>
      <c r="C839" s="77"/>
      <c r="D839" s="77"/>
      <c r="E839" s="3"/>
      <c r="F839" s="16"/>
      <c r="G839" s="479"/>
      <c r="H839" s="479"/>
      <c r="I839" s="479"/>
      <c r="J839" s="349"/>
      <c r="K839" s="70"/>
      <c r="L839" s="63">
        <f t="shared" si="58"/>
        <v>60484.050000000047</v>
      </c>
    </row>
    <row r="840" spans="2:12" ht="13.5" customHeight="1" x14ac:dyDescent="0.2">
      <c r="B840" s="10"/>
      <c r="C840" s="77"/>
      <c r="D840" s="77"/>
      <c r="E840" s="3"/>
      <c r="F840" s="16"/>
      <c r="G840" s="479"/>
      <c r="H840" s="479"/>
      <c r="I840" s="479"/>
      <c r="J840" s="349"/>
      <c r="K840" s="70"/>
      <c r="L840" s="63">
        <f t="shared" si="58"/>
        <v>60484.050000000047</v>
      </c>
    </row>
    <row r="841" spans="2:12" ht="13.5" customHeight="1" x14ac:dyDescent="0.2">
      <c r="B841" s="10"/>
      <c r="C841" s="77"/>
      <c r="D841" s="77"/>
      <c r="E841" s="3"/>
      <c r="F841" s="16"/>
      <c r="G841" s="477"/>
      <c r="H841" s="477"/>
      <c r="I841" s="477"/>
      <c r="J841" s="349"/>
      <c r="K841" s="441"/>
      <c r="L841" s="63">
        <f t="shared" si="58"/>
        <v>60484.050000000047</v>
      </c>
    </row>
    <row r="842" spans="2:12" ht="13.5" customHeight="1" x14ac:dyDescent="0.2">
      <c r="B842" s="10"/>
      <c r="C842" s="77"/>
      <c r="D842" s="77"/>
      <c r="E842" s="3"/>
      <c r="F842" s="16"/>
      <c r="G842" s="477"/>
      <c r="H842" s="477"/>
      <c r="I842" s="477"/>
      <c r="J842" s="349"/>
      <c r="K842" s="441"/>
      <c r="L842" s="63">
        <f t="shared" si="58"/>
        <v>60484.050000000047</v>
      </c>
    </row>
    <row r="843" spans="2:12" ht="13.5" customHeight="1" x14ac:dyDescent="0.2">
      <c r="B843" s="10"/>
      <c r="C843" s="77"/>
      <c r="D843" s="77"/>
      <c r="E843" s="3"/>
      <c r="F843" s="16"/>
      <c r="G843" s="477"/>
      <c r="H843" s="477"/>
      <c r="I843" s="477"/>
      <c r="J843" s="349"/>
      <c r="K843" s="61"/>
      <c r="L843" s="63">
        <f t="shared" si="58"/>
        <v>60484.050000000047</v>
      </c>
    </row>
    <row r="844" spans="2:12" ht="13.5" customHeight="1" x14ac:dyDescent="0.2">
      <c r="B844" s="10"/>
      <c r="C844" s="77"/>
      <c r="D844" s="77"/>
      <c r="E844" s="3"/>
      <c r="F844" s="16"/>
      <c r="G844" s="477"/>
      <c r="H844" s="477"/>
      <c r="I844" s="477"/>
      <c r="J844" s="349"/>
      <c r="K844" s="12"/>
      <c r="L844" s="63">
        <f t="shared" si="58"/>
        <v>60484.050000000047</v>
      </c>
    </row>
    <row r="845" spans="2:12" ht="13.5" customHeight="1" x14ac:dyDescent="0.2">
      <c r="B845" s="10"/>
      <c r="C845" s="77"/>
      <c r="D845" s="77"/>
      <c r="E845" s="3"/>
      <c r="F845" s="16"/>
      <c r="G845" s="479"/>
      <c r="H845" s="479"/>
      <c r="I845" s="479"/>
      <c r="J845" s="349"/>
      <c r="K845" s="70"/>
      <c r="L845" s="63">
        <f t="shared" si="58"/>
        <v>60484.050000000047</v>
      </c>
    </row>
    <row r="846" spans="2:12" ht="13.5" customHeight="1" x14ac:dyDescent="0.2">
      <c r="B846" s="10"/>
      <c r="C846" s="77"/>
      <c r="D846" s="77"/>
      <c r="E846" s="3"/>
      <c r="F846" s="16"/>
      <c r="G846" s="479"/>
      <c r="H846" s="479"/>
      <c r="I846" s="479"/>
      <c r="J846" s="349"/>
      <c r="K846" s="70"/>
      <c r="L846" s="63">
        <f t="shared" si="58"/>
        <v>60484.050000000047</v>
      </c>
    </row>
    <row r="847" spans="2:12" ht="13.5" customHeight="1" x14ac:dyDescent="0.2">
      <c r="B847" s="10"/>
      <c r="C847" s="77"/>
      <c r="D847" s="77"/>
      <c r="E847" s="3"/>
      <c r="F847" s="16"/>
      <c r="G847" s="479"/>
      <c r="H847" s="479"/>
      <c r="I847" s="479"/>
      <c r="J847" s="349"/>
      <c r="K847" s="70"/>
      <c r="L847" s="63">
        <f t="shared" si="58"/>
        <v>60484.050000000047</v>
      </c>
    </row>
    <row r="848" spans="2:12" ht="13.5" customHeight="1" x14ac:dyDescent="0.2">
      <c r="B848" s="10"/>
      <c r="C848" s="77"/>
      <c r="D848" s="77"/>
      <c r="E848" s="3"/>
      <c r="F848" s="16"/>
      <c r="G848" s="484"/>
      <c r="H848" s="484"/>
      <c r="I848" s="484"/>
      <c r="J848" s="349"/>
      <c r="K848" s="70"/>
      <c r="L848" s="63">
        <f t="shared" si="58"/>
        <v>60484.050000000047</v>
      </c>
    </row>
    <row r="849" spans="2:12" x14ac:dyDescent="0.2">
      <c r="B849" s="10"/>
      <c r="C849" s="77"/>
      <c r="D849" s="77"/>
      <c r="E849" s="3"/>
      <c r="F849" s="16"/>
      <c r="G849" s="479"/>
      <c r="H849" s="479"/>
      <c r="I849" s="479"/>
      <c r="J849" s="349"/>
      <c r="K849" s="70"/>
      <c r="L849" s="63">
        <f t="shared" si="58"/>
        <v>60484.050000000047</v>
      </c>
    </row>
    <row r="850" spans="2:12" x14ac:dyDescent="0.2">
      <c r="B850" s="10"/>
      <c r="C850" s="77"/>
      <c r="D850" s="77"/>
      <c r="E850" s="3"/>
      <c r="F850" s="16"/>
      <c r="G850" s="479"/>
      <c r="H850" s="479"/>
      <c r="I850" s="479"/>
      <c r="J850" s="349"/>
      <c r="K850" s="70"/>
      <c r="L850" s="63">
        <f t="shared" si="58"/>
        <v>60484.050000000047</v>
      </c>
    </row>
    <row r="851" spans="2:12" x14ac:dyDescent="0.2">
      <c r="B851" s="10"/>
      <c r="C851" s="77"/>
      <c r="D851" s="77"/>
      <c r="E851" s="3"/>
      <c r="F851" s="16"/>
      <c r="G851" s="479"/>
      <c r="H851" s="479"/>
      <c r="I851" s="479"/>
      <c r="J851" s="349"/>
      <c r="K851" s="70"/>
      <c r="L851" s="63">
        <f t="shared" si="58"/>
        <v>60484.050000000047</v>
      </c>
    </row>
    <row r="852" spans="2:12" x14ac:dyDescent="0.2">
      <c r="B852" s="10"/>
      <c r="C852" s="77"/>
      <c r="D852" s="77"/>
      <c r="E852" s="3"/>
      <c r="F852" s="16"/>
      <c r="G852" s="479"/>
      <c r="H852" s="479"/>
      <c r="I852" s="479"/>
      <c r="J852" s="349"/>
      <c r="K852" s="70"/>
      <c r="L852" s="63">
        <f t="shared" si="58"/>
        <v>60484.050000000047</v>
      </c>
    </row>
    <row r="853" spans="2:12" ht="12" customHeight="1" x14ac:dyDescent="0.2">
      <c r="B853" s="10"/>
      <c r="C853" s="77"/>
      <c r="D853" s="77"/>
      <c r="E853" s="3"/>
      <c r="F853" s="16"/>
      <c r="G853" s="479"/>
      <c r="H853" s="479"/>
      <c r="I853" s="479"/>
      <c r="J853" s="349"/>
      <c r="K853" s="488"/>
      <c r="L853" s="63">
        <f t="shared" si="58"/>
        <v>60484.050000000047</v>
      </c>
    </row>
    <row r="854" spans="2:12" x14ac:dyDescent="0.2">
      <c r="B854" s="10"/>
      <c r="C854" s="77"/>
      <c r="D854" s="77"/>
      <c r="E854" s="3"/>
      <c r="F854" s="16"/>
      <c r="G854" s="485"/>
      <c r="H854" s="486"/>
      <c r="I854" s="486"/>
      <c r="J854" s="349"/>
      <c r="K854" s="70"/>
      <c r="L854" s="63">
        <f t="shared" si="58"/>
        <v>60484.050000000047</v>
      </c>
    </row>
    <row r="855" spans="2:12" x14ac:dyDescent="0.2">
      <c r="B855" s="10"/>
      <c r="C855" s="77"/>
      <c r="D855" s="77"/>
      <c r="E855" s="3"/>
      <c r="F855" s="16"/>
      <c r="G855" s="485"/>
      <c r="H855" s="487"/>
      <c r="I855" s="487"/>
      <c r="J855" s="349"/>
      <c r="K855" s="70"/>
      <c r="L855" s="63">
        <f t="shared" si="58"/>
        <v>60484.050000000047</v>
      </c>
    </row>
    <row r="856" spans="2:12" ht="12.75" thickBot="1" x14ac:dyDescent="0.25">
      <c r="B856" s="64"/>
      <c r="C856" s="65"/>
      <c r="D856" s="65"/>
      <c r="E856" s="13"/>
      <c r="F856" s="13"/>
      <c r="G856" s="104"/>
      <c r="H856" s="84"/>
      <c r="I856" s="12"/>
      <c r="J856" s="12"/>
      <c r="K856" s="12"/>
      <c r="L856" s="63"/>
    </row>
    <row r="857" spans="2:12" x14ac:dyDescent="0.2">
      <c r="B857" s="56"/>
      <c r="C857" s="57"/>
      <c r="D857" s="57"/>
      <c r="E857" s="5"/>
      <c r="F857" s="5"/>
      <c r="G857" s="85" t="s">
        <v>35</v>
      </c>
      <c r="H857" s="107">
        <f>SUM(H791:H832)</f>
        <v>0</v>
      </c>
      <c r="I857" s="105">
        <f>SUM(I791:I832)</f>
        <v>0</v>
      </c>
      <c r="J857" s="106">
        <f>SUM(J791:J832)</f>
        <v>0</v>
      </c>
      <c r="K857" s="106">
        <f>SUM(K837:K854)</f>
        <v>0</v>
      </c>
      <c r="L857" s="108"/>
    </row>
    <row r="858" spans="2:12" ht="12.75" thickBot="1" x14ac:dyDescent="0.25">
      <c r="B858" s="71"/>
      <c r="C858" s="72"/>
      <c r="D858" s="72"/>
      <c r="E858" s="73"/>
      <c r="F858" s="73"/>
      <c r="G858" s="86" t="s">
        <v>13</v>
      </c>
      <c r="H858" s="100"/>
      <c r="I858" s="99"/>
      <c r="J858" s="87"/>
      <c r="K858" s="87"/>
      <c r="L858" s="88">
        <f>+J857-K857+L790</f>
        <v>60484.050000000047</v>
      </c>
    </row>
    <row r="859" spans="2:12" x14ac:dyDescent="0.2">
      <c r="B859" s="25"/>
      <c r="H859" s="74"/>
      <c r="I859" s="25"/>
      <c r="L859" s="25"/>
    </row>
    <row r="860" spans="2:12" ht="13.5" x14ac:dyDescent="0.2">
      <c r="B860" s="25"/>
      <c r="D860" s="540" t="s">
        <v>15</v>
      </c>
      <c r="E860" s="540"/>
      <c r="F860" s="540"/>
      <c r="G860" s="540"/>
      <c r="H860" s="540"/>
      <c r="I860" s="540"/>
    </row>
    <row r="861" spans="2:12" x14ac:dyDescent="0.2">
      <c r="B861" s="25"/>
      <c r="D861" s="541" t="s">
        <v>864</v>
      </c>
      <c r="E861" s="542"/>
      <c r="F861" s="542"/>
      <c r="G861" s="542"/>
      <c r="H861" s="542"/>
      <c r="I861" s="543"/>
    </row>
    <row r="862" spans="2:12" x14ac:dyDescent="0.2">
      <c r="B862" s="25"/>
      <c r="D862" s="17"/>
      <c r="E862" s="18" t="s">
        <v>17</v>
      </c>
      <c r="F862" s="18" t="s">
        <v>18</v>
      </c>
      <c r="G862" s="1" t="s">
        <v>19</v>
      </c>
      <c r="H862" s="1" t="s">
        <v>20</v>
      </c>
      <c r="I862" s="18" t="s">
        <v>21</v>
      </c>
    </row>
    <row r="863" spans="2:12" ht="24" x14ac:dyDescent="0.2">
      <c r="B863" s="25"/>
      <c r="D863" s="19" t="s">
        <v>5</v>
      </c>
      <c r="E863" s="109" t="s">
        <v>7</v>
      </c>
      <c r="F863" s="18" t="s">
        <v>8</v>
      </c>
      <c r="G863" s="1" t="s">
        <v>9</v>
      </c>
      <c r="H863" s="1" t="s">
        <v>22</v>
      </c>
      <c r="I863" s="6" t="s">
        <v>23</v>
      </c>
    </row>
    <row r="864" spans="2:12" x14ac:dyDescent="0.2">
      <c r="B864" s="25"/>
      <c r="D864" s="20" t="s">
        <v>856</v>
      </c>
      <c r="E864" s="21"/>
      <c r="F864" s="21"/>
      <c r="G864" s="22"/>
      <c r="H864" s="2"/>
      <c r="I864" s="513">
        <f>L6</f>
        <v>74316.170000000042</v>
      </c>
    </row>
    <row r="865" spans="2:12" ht="12.75" x14ac:dyDescent="0.2">
      <c r="B865" s="25"/>
      <c r="D865" s="23" t="s">
        <v>25</v>
      </c>
      <c r="E865" s="202">
        <f>H74</f>
        <v>41535</v>
      </c>
      <c r="F865" s="202">
        <f>I74</f>
        <v>13291.199999999999</v>
      </c>
      <c r="G865" s="509">
        <f>J74</f>
        <v>28243.800000000003</v>
      </c>
      <c r="H865" s="510">
        <f>K74</f>
        <v>7500</v>
      </c>
      <c r="I865" s="514">
        <f>+G865-H865+I864</f>
        <v>95059.970000000045</v>
      </c>
    </row>
    <row r="866" spans="2:12" ht="12.75" x14ac:dyDescent="0.2">
      <c r="B866" s="25"/>
      <c r="D866" s="23" t="s">
        <v>14</v>
      </c>
      <c r="E866" s="510">
        <f>H159</f>
        <v>14702</v>
      </c>
      <c r="F866" s="510">
        <f>I159</f>
        <v>4704.6399999999994</v>
      </c>
      <c r="G866" s="511">
        <f>J159</f>
        <v>9997.36</v>
      </c>
      <c r="H866" s="510">
        <f>K159</f>
        <v>18300</v>
      </c>
      <c r="I866" s="514">
        <f t="shared" ref="I866:I875" si="59">+G866-H866+I865</f>
        <v>86757.330000000045</v>
      </c>
    </row>
    <row r="867" spans="2:12" ht="12.75" x14ac:dyDescent="0.2">
      <c r="B867" s="25"/>
      <c r="D867" s="8" t="s">
        <v>26</v>
      </c>
      <c r="E867" s="510">
        <f>H243</f>
        <v>6804</v>
      </c>
      <c r="F867" s="510">
        <f>I243</f>
        <v>2177.2800000000002</v>
      </c>
      <c r="G867" s="511">
        <f>J243</f>
        <v>4626.72</v>
      </c>
      <c r="H867" s="510">
        <f>K243</f>
        <v>14250</v>
      </c>
      <c r="I867" s="514">
        <f t="shared" si="59"/>
        <v>77134.050000000047</v>
      </c>
    </row>
    <row r="868" spans="2:12" ht="12.75" x14ac:dyDescent="0.2">
      <c r="B868" s="25"/>
      <c r="D868" s="23" t="s">
        <v>27</v>
      </c>
      <c r="E868" s="510">
        <f>H318</f>
        <v>0</v>
      </c>
      <c r="F868" s="510">
        <f>I318</f>
        <v>0</v>
      </c>
      <c r="G868" s="511">
        <f>J318</f>
        <v>0</v>
      </c>
      <c r="H868" s="510">
        <f>K318</f>
        <v>14500</v>
      </c>
      <c r="I868" s="514">
        <f t="shared" si="59"/>
        <v>62634.050000000047</v>
      </c>
    </row>
    <row r="869" spans="2:12" ht="12.75" x14ac:dyDescent="0.2">
      <c r="B869" s="25"/>
      <c r="D869" s="23" t="s">
        <v>28</v>
      </c>
      <c r="E869" s="510">
        <f>H382</f>
        <v>0</v>
      </c>
      <c r="F869" s="510">
        <f>I382</f>
        <v>0</v>
      </c>
      <c r="G869" s="511">
        <f>J382</f>
        <v>0</v>
      </c>
      <c r="H869" s="510">
        <f>K382</f>
        <v>2150</v>
      </c>
      <c r="I869" s="514">
        <f t="shared" si="59"/>
        <v>60484.050000000047</v>
      </c>
    </row>
    <row r="870" spans="2:12" ht="12.75" x14ac:dyDescent="0.2">
      <c r="B870" s="25"/>
      <c r="D870" s="23" t="s">
        <v>29</v>
      </c>
      <c r="E870" s="510">
        <f>H463</f>
        <v>0</v>
      </c>
      <c r="F870" s="510">
        <f>I463</f>
        <v>0</v>
      </c>
      <c r="G870" s="511">
        <f>J463</f>
        <v>0</v>
      </c>
      <c r="H870" s="510">
        <f>K463</f>
        <v>0</v>
      </c>
      <c r="I870" s="514">
        <f t="shared" si="59"/>
        <v>60484.050000000047</v>
      </c>
    </row>
    <row r="871" spans="2:12" ht="12.75" x14ac:dyDescent="0.2">
      <c r="B871" s="25"/>
      <c r="D871" s="23" t="s">
        <v>30</v>
      </c>
      <c r="E871" s="510">
        <f>H525</f>
        <v>0</v>
      </c>
      <c r="F871" s="510">
        <f>I525</f>
        <v>0</v>
      </c>
      <c r="G871" s="511">
        <f>J525</f>
        <v>0</v>
      </c>
      <c r="H871" s="510">
        <f>K525</f>
        <v>0</v>
      </c>
      <c r="I871" s="514">
        <f t="shared" si="59"/>
        <v>60484.050000000047</v>
      </c>
    </row>
    <row r="872" spans="2:12" ht="12.75" x14ac:dyDescent="0.2">
      <c r="B872" s="25"/>
      <c r="D872" s="23" t="s">
        <v>31</v>
      </c>
      <c r="E872" s="510">
        <f>H593</f>
        <v>0</v>
      </c>
      <c r="F872" s="510">
        <f>I593</f>
        <v>0</v>
      </c>
      <c r="G872" s="511">
        <f>J593</f>
        <v>0</v>
      </c>
      <c r="H872" s="510">
        <f>K593</f>
        <v>0</v>
      </c>
      <c r="I872" s="514">
        <f t="shared" si="59"/>
        <v>60484.050000000047</v>
      </c>
    </row>
    <row r="873" spans="2:12" ht="12.75" x14ac:dyDescent="0.2">
      <c r="B873" s="25"/>
      <c r="D873" s="23" t="s">
        <v>32</v>
      </c>
      <c r="E873" s="510">
        <f>H662</f>
        <v>0</v>
      </c>
      <c r="F873" s="510">
        <f>I662</f>
        <v>0</v>
      </c>
      <c r="G873" s="511">
        <f>J662</f>
        <v>0</v>
      </c>
      <c r="H873" s="510">
        <f>K662</f>
        <v>0</v>
      </c>
      <c r="I873" s="514">
        <f t="shared" si="59"/>
        <v>60484.050000000047</v>
      </c>
      <c r="J873" s="103"/>
    </row>
    <row r="874" spans="2:12" ht="12.75" x14ac:dyDescent="0.2">
      <c r="B874" s="25"/>
      <c r="D874" s="23" t="s">
        <v>33</v>
      </c>
      <c r="E874" s="510">
        <f>H727</f>
        <v>0</v>
      </c>
      <c r="F874" s="510">
        <f>I727</f>
        <v>0</v>
      </c>
      <c r="G874" s="511">
        <f>J727</f>
        <v>0</v>
      </c>
      <c r="H874" s="512">
        <f>K727</f>
        <v>0</v>
      </c>
      <c r="I874" s="514">
        <f t="shared" si="59"/>
        <v>60484.050000000047</v>
      </c>
    </row>
    <row r="875" spans="2:12" ht="12.75" x14ac:dyDescent="0.2">
      <c r="B875" s="25"/>
      <c r="D875" s="23" t="s">
        <v>34</v>
      </c>
      <c r="E875" s="510">
        <f>H783</f>
        <v>0</v>
      </c>
      <c r="F875" s="510">
        <f>I783</f>
        <v>0</v>
      </c>
      <c r="G875" s="511">
        <f>J783</f>
        <v>0</v>
      </c>
      <c r="H875" s="512">
        <f>K783</f>
        <v>0</v>
      </c>
      <c r="I875" s="514">
        <f t="shared" si="59"/>
        <v>60484.050000000047</v>
      </c>
    </row>
    <row r="876" spans="2:12" ht="12.75" x14ac:dyDescent="0.2">
      <c r="B876" s="25"/>
      <c r="D876" s="23" t="s">
        <v>35</v>
      </c>
      <c r="E876" s="510">
        <f>H857</f>
        <v>0</v>
      </c>
      <c r="F876" s="510">
        <f>I857</f>
        <v>0</v>
      </c>
      <c r="G876" s="511">
        <f>J857</f>
        <v>0</v>
      </c>
      <c r="H876" s="512">
        <f>K857</f>
        <v>0</v>
      </c>
      <c r="I876" s="514">
        <f>+G876-H876+I875</f>
        <v>60484.050000000047</v>
      </c>
      <c r="K876" s="396"/>
    </row>
    <row r="877" spans="2:12" ht="12.75" x14ac:dyDescent="0.2">
      <c r="B877" s="25"/>
      <c r="C877" s="25"/>
      <c r="D877" s="15" t="s">
        <v>36</v>
      </c>
      <c r="E877" s="510">
        <f>SUM(E865:E876)</f>
        <v>63041</v>
      </c>
      <c r="F877" s="510">
        <f>SUM(F865:F876)</f>
        <v>20173.119999999995</v>
      </c>
      <c r="G877" s="510">
        <f>SUM(G865:G876)</f>
        <v>42867.880000000005</v>
      </c>
      <c r="H877" s="510">
        <f>SUM(H865:H876)</f>
        <v>56700</v>
      </c>
      <c r="I877" s="103"/>
    </row>
    <row r="878" spans="2:12" x14ac:dyDescent="0.2">
      <c r="B878" s="25"/>
      <c r="C878" s="25"/>
      <c r="D878" s="25"/>
      <c r="E878" s="25"/>
      <c r="F878" s="25"/>
      <c r="G878" s="27"/>
      <c r="H878" s="74"/>
      <c r="I878" s="25"/>
      <c r="J878" s="25"/>
      <c r="K878" s="25"/>
      <c r="L878" s="25"/>
    </row>
    <row r="879" spans="2:12" x14ac:dyDescent="0.2">
      <c r="B879" s="25"/>
      <c r="C879" s="25"/>
      <c r="D879" s="25"/>
      <c r="E879" s="25"/>
      <c r="F879" s="25"/>
      <c r="G879" s="27"/>
      <c r="H879" s="74"/>
      <c r="I879" s="25"/>
      <c r="J879" s="25"/>
      <c r="K879" s="25"/>
      <c r="L879" s="25"/>
    </row>
    <row r="880" spans="2:12" x14ac:dyDescent="0.2">
      <c r="B880" s="25"/>
      <c r="C880" s="25"/>
      <c r="D880" s="25"/>
      <c r="E880" s="25"/>
      <c r="F880" s="25"/>
      <c r="G880" s="27"/>
      <c r="H880" s="74"/>
      <c r="I880" s="25"/>
      <c r="J880" s="25"/>
      <c r="K880" s="25"/>
      <c r="L880" s="25"/>
    </row>
    <row r="881" spans="2:12" x14ac:dyDescent="0.2">
      <c r="B881" s="25"/>
      <c r="C881" s="25"/>
      <c r="D881" s="25"/>
      <c r="E881" s="25"/>
      <c r="F881" s="25"/>
      <c r="G881" s="27"/>
      <c r="H881" s="74"/>
      <c r="I881" s="25"/>
      <c r="J881" s="25"/>
      <c r="K881" s="25"/>
      <c r="L881" s="25"/>
    </row>
    <row r="882" spans="2:12" x14ac:dyDescent="0.2">
      <c r="B882" s="25"/>
      <c r="C882" s="25"/>
      <c r="D882" s="25"/>
      <c r="E882" s="25"/>
      <c r="F882" s="25"/>
      <c r="G882" s="27"/>
      <c r="H882" s="74"/>
      <c r="I882" s="25"/>
      <c r="J882" s="25"/>
      <c r="K882" s="25"/>
      <c r="L882" s="25"/>
    </row>
    <row r="883" spans="2:12" x14ac:dyDescent="0.2">
      <c r="B883" s="25"/>
      <c r="C883" s="25"/>
      <c r="D883" s="25"/>
      <c r="E883" s="25"/>
      <c r="F883" s="25"/>
      <c r="G883" s="27"/>
      <c r="H883" s="74"/>
      <c r="I883" s="25"/>
      <c r="J883" s="25"/>
      <c r="K883" s="25"/>
      <c r="L883" s="25"/>
    </row>
    <row r="884" spans="2:12" x14ac:dyDescent="0.2">
      <c r="B884" s="25"/>
      <c r="C884" s="25"/>
      <c r="D884" s="25"/>
      <c r="E884" s="25"/>
      <c r="F884" s="25"/>
      <c r="G884" s="27"/>
      <c r="H884" s="74"/>
      <c r="I884" s="25"/>
      <c r="J884" s="25"/>
      <c r="K884" s="25"/>
      <c r="L884" s="25"/>
    </row>
    <row r="885" spans="2:12" x14ac:dyDescent="0.2">
      <c r="B885" s="25"/>
      <c r="C885" s="25"/>
      <c r="D885" s="25"/>
      <c r="E885" s="25"/>
      <c r="F885" s="25"/>
      <c r="G885" s="27"/>
      <c r="H885" s="74"/>
      <c r="I885" s="25"/>
      <c r="J885" s="25"/>
      <c r="K885" s="25"/>
      <c r="L885" s="25"/>
    </row>
    <row r="886" spans="2:12" x14ac:dyDescent="0.2">
      <c r="B886" s="25"/>
      <c r="C886" s="25"/>
      <c r="D886" s="25"/>
      <c r="E886" s="25"/>
      <c r="F886" s="25"/>
      <c r="G886" s="27"/>
      <c r="H886" s="74"/>
      <c r="I886" s="25"/>
      <c r="J886" s="25"/>
      <c r="K886" s="25"/>
      <c r="L886" s="25"/>
    </row>
    <row r="887" spans="2:12" x14ac:dyDescent="0.2">
      <c r="B887" s="25"/>
      <c r="C887" s="25"/>
      <c r="D887" s="25"/>
      <c r="E887" s="25"/>
      <c r="F887" s="25"/>
      <c r="G887" s="27"/>
      <c r="H887" s="74"/>
      <c r="I887" s="25"/>
      <c r="J887" s="25"/>
      <c r="K887" s="25"/>
      <c r="L887" s="25"/>
    </row>
    <row r="888" spans="2:12" x14ac:dyDescent="0.2">
      <c r="B888" s="25"/>
      <c r="C888" s="25"/>
      <c r="D888" s="25"/>
      <c r="E888" s="25"/>
      <c r="F888" s="25"/>
      <c r="G888" s="27"/>
      <c r="H888" s="74"/>
      <c r="I888" s="25"/>
      <c r="J888" s="25"/>
      <c r="K888" s="25"/>
      <c r="L888" s="25"/>
    </row>
    <row r="889" spans="2:12" x14ac:dyDescent="0.2">
      <c r="B889" s="25"/>
      <c r="C889" s="25"/>
      <c r="D889" s="25"/>
      <c r="E889" s="25"/>
      <c r="F889" s="25"/>
      <c r="G889" s="27"/>
      <c r="H889" s="74"/>
      <c r="I889" s="25"/>
      <c r="J889" s="25"/>
      <c r="K889" s="25"/>
      <c r="L889" s="25"/>
    </row>
    <row r="890" spans="2:12" x14ac:dyDescent="0.2">
      <c r="B890" s="25"/>
      <c r="C890" s="25"/>
      <c r="D890" s="25"/>
      <c r="E890" s="25"/>
      <c r="F890" s="25"/>
      <c r="G890" s="27"/>
      <c r="H890" s="74"/>
      <c r="I890" s="25"/>
      <c r="J890" s="25"/>
      <c r="K890" s="25"/>
      <c r="L890" s="25"/>
    </row>
    <row r="891" spans="2:12" x14ac:dyDescent="0.2">
      <c r="B891" s="25"/>
      <c r="C891" s="25"/>
      <c r="D891" s="25"/>
      <c r="E891" s="25"/>
      <c r="F891" s="25"/>
      <c r="G891" s="27"/>
      <c r="H891" s="74"/>
      <c r="I891" s="25"/>
      <c r="J891" s="25"/>
      <c r="K891" s="25"/>
      <c r="L891" s="25"/>
    </row>
    <row r="892" spans="2:12" x14ac:dyDescent="0.2">
      <c r="B892" s="25"/>
      <c r="C892" s="25"/>
      <c r="D892" s="25"/>
      <c r="E892" s="25"/>
      <c r="F892" s="25"/>
      <c r="G892" s="27"/>
      <c r="H892" s="74"/>
      <c r="I892" s="25"/>
      <c r="J892" s="25"/>
      <c r="K892" s="25"/>
      <c r="L892" s="25"/>
    </row>
    <row r="893" spans="2:12" x14ac:dyDescent="0.2">
      <c r="B893" s="25"/>
      <c r="C893" s="25"/>
      <c r="D893" s="25"/>
      <c r="E893" s="25"/>
      <c r="F893" s="25"/>
      <c r="G893" s="27"/>
      <c r="H893" s="74"/>
      <c r="I893" s="25"/>
      <c r="J893" s="25"/>
      <c r="K893" s="25"/>
      <c r="L893" s="25"/>
    </row>
    <row r="894" spans="2:12" x14ac:dyDescent="0.2">
      <c r="B894" s="25"/>
      <c r="C894" s="25"/>
      <c r="D894" s="25"/>
      <c r="E894" s="25"/>
      <c r="F894" s="25"/>
      <c r="G894" s="27"/>
      <c r="H894" s="74"/>
      <c r="I894" s="25"/>
      <c r="J894" s="25"/>
      <c r="K894" s="25"/>
      <c r="L894" s="25"/>
    </row>
    <row r="895" spans="2:12" x14ac:dyDescent="0.2">
      <c r="B895" s="25"/>
      <c r="C895" s="25"/>
      <c r="D895" s="25"/>
      <c r="E895" s="25"/>
      <c r="F895" s="25"/>
      <c r="G895" s="27"/>
      <c r="H895" s="74"/>
      <c r="I895" s="25"/>
      <c r="J895" s="25"/>
      <c r="K895" s="25"/>
      <c r="L895" s="25"/>
    </row>
    <row r="896" spans="2:12" x14ac:dyDescent="0.2">
      <c r="B896" s="25"/>
      <c r="C896" s="25"/>
      <c r="D896" s="25"/>
      <c r="E896" s="25"/>
      <c r="F896" s="25"/>
      <c r="G896" s="27"/>
      <c r="H896" s="74"/>
      <c r="I896" s="25"/>
      <c r="J896" s="25"/>
      <c r="K896" s="25"/>
      <c r="L896" s="25"/>
    </row>
    <row r="897" spans="2:12" x14ac:dyDescent="0.2">
      <c r="B897" s="25"/>
      <c r="C897" s="25"/>
      <c r="D897" s="25"/>
      <c r="E897" s="25"/>
      <c r="F897" s="25"/>
      <c r="G897" s="27"/>
      <c r="H897" s="74"/>
      <c r="I897" s="25"/>
      <c r="J897" s="25"/>
      <c r="K897" s="25"/>
      <c r="L897" s="25"/>
    </row>
    <row r="898" spans="2:12" x14ac:dyDescent="0.2">
      <c r="B898" s="25"/>
      <c r="C898" s="25"/>
      <c r="D898" s="25"/>
      <c r="E898" s="25"/>
      <c r="F898" s="25"/>
      <c r="G898" s="27"/>
      <c r="H898" s="74"/>
      <c r="I898" s="25"/>
      <c r="J898" s="25"/>
      <c r="K898" s="25"/>
      <c r="L898" s="25"/>
    </row>
    <row r="899" spans="2:12" x14ac:dyDescent="0.2">
      <c r="B899" s="25"/>
      <c r="C899" s="25"/>
      <c r="D899" s="25"/>
      <c r="E899" s="25"/>
      <c r="F899" s="25"/>
      <c r="G899" s="27"/>
      <c r="H899" s="74"/>
      <c r="I899" s="25"/>
      <c r="J899" s="25"/>
      <c r="K899" s="25"/>
      <c r="L899" s="25"/>
    </row>
    <row r="900" spans="2:12" x14ac:dyDescent="0.2">
      <c r="B900" s="25"/>
      <c r="C900" s="25"/>
      <c r="D900" s="25"/>
      <c r="E900" s="25"/>
      <c r="F900" s="25"/>
      <c r="G900" s="27"/>
      <c r="H900" s="74"/>
      <c r="I900" s="25"/>
      <c r="J900" s="25"/>
      <c r="K900" s="25"/>
      <c r="L900" s="25"/>
    </row>
    <row r="901" spans="2:12" x14ac:dyDescent="0.2">
      <c r="B901" s="25"/>
      <c r="C901" s="25"/>
      <c r="D901" s="25"/>
      <c r="E901" s="25"/>
      <c r="F901" s="25"/>
      <c r="G901" s="27"/>
      <c r="H901" s="74"/>
      <c r="I901" s="25"/>
      <c r="J901" s="25"/>
      <c r="K901" s="25"/>
      <c r="L901" s="25"/>
    </row>
    <row r="902" spans="2:12" x14ac:dyDescent="0.2">
      <c r="B902" s="25"/>
      <c r="C902" s="25"/>
      <c r="D902" s="25"/>
      <c r="E902" s="25"/>
      <c r="F902" s="25"/>
      <c r="G902" s="27"/>
      <c r="H902" s="74"/>
      <c r="I902" s="25"/>
      <c r="J902" s="25"/>
      <c r="K902" s="25"/>
      <c r="L902" s="25"/>
    </row>
    <row r="903" spans="2:12" x14ac:dyDescent="0.2">
      <c r="B903" s="25"/>
      <c r="C903" s="25"/>
      <c r="D903" s="25"/>
      <c r="E903" s="25"/>
      <c r="F903" s="25"/>
      <c r="G903" s="27"/>
      <c r="H903" s="74"/>
      <c r="I903" s="25"/>
      <c r="J903" s="25"/>
      <c r="K903" s="25"/>
      <c r="L903" s="25"/>
    </row>
    <row r="904" spans="2:12" x14ac:dyDescent="0.2">
      <c r="B904" s="25"/>
      <c r="C904" s="25"/>
      <c r="D904" s="25"/>
      <c r="E904" s="25"/>
      <c r="F904" s="25"/>
      <c r="G904" s="27"/>
      <c r="H904" s="74"/>
      <c r="I904" s="25"/>
      <c r="J904" s="25"/>
      <c r="K904" s="25"/>
      <c r="L904" s="25"/>
    </row>
    <row r="905" spans="2:12" x14ac:dyDescent="0.2">
      <c r="B905" s="25"/>
      <c r="C905" s="25"/>
      <c r="D905" s="25"/>
      <c r="E905" s="25"/>
      <c r="F905" s="25"/>
      <c r="G905" s="27"/>
      <c r="H905" s="74"/>
      <c r="I905" s="25"/>
      <c r="J905" s="25"/>
      <c r="K905" s="25"/>
      <c r="L905" s="25"/>
    </row>
    <row r="906" spans="2:12" x14ac:dyDescent="0.2">
      <c r="B906" s="25"/>
      <c r="C906" s="25"/>
      <c r="D906" s="25"/>
      <c r="E906" s="25"/>
      <c r="F906" s="25"/>
      <c r="G906" s="27"/>
      <c r="H906" s="74"/>
      <c r="I906" s="25"/>
      <c r="J906" s="25"/>
      <c r="K906" s="25"/>
      <c r="L906" s="25"/>
    </row>
    <row r="907" spans="2:12" x14ac:dyDescent="0.2">
      <c r="B907" s="25"/>
      <c r="C907" s="25"/>
      <c r="D907" s="25"/>
      <c r="E907" s="25"/>
      <c r="F907" s="25"/>
      <c r="G907" s="27"/>
      <c r="H907" s="74"/>
      <c r="I907" s="25"/>
      <c r="J907" s="25"/>
      <c r="K907" s="25"/>
      <c r="L907" s="25"/>
    </row>
    <row r="908" spans="2:12" x14ac:dyDescent="0.2">
      <c r="B908" s="25"/>
      <c r="C908" s="25"/>
      <c r="D908" s="25"/>
      <c r="E908" s="25"/>
      <c r="F908" s="25"/>
      <c r="G908" s="27"/>
      <c r="H908" s="74"/>
      <c r="I908" s="25"/>
      <c r="J908" s="25"/>
      <c r="K908" s="25"/>
      <c r="L908" s="25"/>
    </row>
    <row r="909" spans="2:12" x14ac:dyDescent="0.2">
      <c r="B909" s="25"/>
      <c r="C909" s="25"/>
      <c r="D909" s="25"/>
      <c r="E909" s="25"/>
      <c r="F909" s="25"/>
      <c r="G909" s="27"/>
      <c r="H909" s="74"/>
      <c r="I909" s="25"/>
      <c r="J909" s="25"/>
      <c r="K909" s="25"/>
      <c r="L909" s="25"/>
    </row>
    <row r="910" spans="2:12" x14ac:dyDescent="0.2">
      <c r="B910" s="25"/>
      <c r="C910" s="25"/>
      <c r="D910" s="25"/>
      <c r="E910" s="25"/>
      <c r="F910" s="25"/>
      <c r="G910" s="27"/>
      <c r="H910" s="74"/>
      <c r="I910" s="25"/>
      <c r="J910" s="25"/>
      <c r="K910" s="25"/>
      <c r="L910" s="25"/>
    </row>
    <row r="911" spans="2:12" x14ac:dyDescent="0.2">
      <c r="B911" s="25"/>
      <c r="C911" s="25"/>
      <c r="D911" s="25"/>
      <c r="E911" s="25"/>
      <c r="F911" s="25"/>
      <c r="G911" s="27"/>
      <c r="H911" s="74"/>
      <c r="I911" s="25"/>
      <c r="J911" s="25"/>
      <c r="K911" s="25"/>
      <c r="L911" s="25"/>
    </row>
    <row r="912" spans="2:12" x14ac:dyDescent="0.2">
      <c r="B912" s="25"/>
      <c r="C912" s="25"/>
      <c r="D912" s="25"/>
      <c r="E912" s="25"/>
      <c r="F912" s="25"/>
      <c r="G912" s="27"/>
      <c r="H912" s="74"/>
      <c r="I912" s="25"/>
      <c r="J912" s="25"/>
      <c r="K912" s="25"/>
      <c r="L912" s="25"/>
    </row>
    <row r="913" spans="2:12" x14ac:dyDescent="0.2">
      <c r="B913" s="25"/>
      <c r="C913" s="25"/>
      <c r="D913" s="25"/>
      <c r="E913" s="25"/>
      <c r="F913" s="25"/>
      <c r="G913" s="27"/>
      <c r="H913" s="74"/>
      <c r="I913" s="25"/>
      <c r="J913" s="25"/>
      <c r="K913" s="25"/>
      <c r="L913" s="25"/>
    </row>
    <row r="914" spans="2:12" x14ac:dyDescent="0.2">
      <c r="B914" s="25"/>
      <c r="C914" s="25"/>
      <c r="D914" s="25"/>
      <c r="E914" s="25"/>
      <c r="F914" s="25"/>
      <c r="G914" s="27"/>
      <c r="H914" s="74"/>
      <c r="I914" s="25"/>
      <c r="J914" s="25"/>
      <c r="K914" s="25"/>
      <c r="L914" s="25"/>
    </row>
    <row r="915" spans="2:12" x14ac:dyDescent="0.2">
      <c r="B915" s="25"/>
      <c r="C915" s="25"/>
      <c r="D915" s="25"/>
      <c r="E915" s="25"/>
      <c r="F915" s="25"/>
      <c r="G915" s="27"/>
      <c r="H915" s="74"/>
      <c r="I915" s="25"/>
      <c r="J915" s="25"/>
      <c r="K915" s="25"/>
      <c r="L915" s="25"/>
    </row>
    <row r="916" spans="2:12" x14ac:dyDescent="0.2">
      <c r="B916" s="25"/>
      <c r="C916" s="25"/>
      <c r="D916" s="25"/>
      <c r="E916" s="25"/>
      <c r="F916" s="25"/>
      <c r="G916" s="27"/>
      <c r="H916" s="74"/>
      <c r="I916" s="25"/>
      <c r="J916" s="25"/>
      <c r="K916" s="25"/>
      <c r="L916" s="25"/>
    </row>
    <row r="917" spans="2:12" x14ac:dyDescent="0.2">
      <c r="B917" s="25"/>
      <c r="C917" s="25"/>
      <c r="D917" s="25"/>
      <c r="E917" s="25"/>
      <c r="F917" s="25"/>
      <c r="G917" s="27"/>
      <c r="H917" s="74"/>
      <c r="I917" s="25"/>
      <c r="J917" s="25"/>
      <c r="K917" s="25"/>
      <c r="L917" s="25"/>
    </row>
    <row r="918" spans="2:12" x14ac:dyDescent="0.2">
      <c r="B918" s="25"/>
      <c r="C918" s="25"/>
      <c r="D918" s="25"/>
      <c r="E918" s="25"/>
      <c r="F918" s="25"/>
      <c r="G918" s="27"/>
      <c r="H918" s="74"/>
      <c r="I918" s="25"/>
      <c r="J918" s="25"/>
      <c r="K918" s="25"/>
      <c r="L918" s="25"/>
    </row>
    <row r="919" spans="2:12" x14ac:dyDescent="0.2">
      <c r="B919" s="25"/>
      <c r="C919" s="25"/>
      <c r="D919" s="25"/>
      <c r="E919" s="25"/>
      <c r="F919" s="25"/>
      <c r="G919" s="27"/>
      <c r="H919" s="74"/>
      <c r="I919" s="25"/>
      <c r="J919" s="25"/>
      <c r="K919" s="25"/>
      <c r="L919" s="25"/>
    </row>
    <row r="920" spans="2:12" x14ac:dyDescent="0.2">
      <c r="B920" s="25"/>
      <c r="C920" s="25"/>
      <c r="D920" s="25"/>
      <c r="E920" s="25"/>
      <c r="F920" s="25"/>
      <c r="G920" s="27"/>
      <c r="H920" s="74"/>
      <c r="I920" s="25"/>
      <c r="J920" s="25"/>
      <c r="K920" s="25"/>
      <c r="L920" s="25"/>
    </row>
    <row r="921" spans="2:12" x14ac:dyDescent="0.2">
      <c r="B921" s="25"/>
      <c r="C921" s="25"/>
      <c r="D921" s="25"/>
      <c r="E921" s="25"/>
      <c r="F921" s="25"/>
      <c r="G921" s="27"/>
      <c r="H921" s="74"/>
      <c r="I921" s="25"/>
      <c r="J921" s="25"/>
      <c r="K921" s="25"/>
      <c r="L921" s="25"/>
    </row>
    <row r="922" spans="2:12" x14ac:dyDescent="0.2">
      <c r="B922" s="25"/>
      <c r="C922" s="25"/>
      <c r="D922" s="25"/>
      <c r="E922" s="25"/>
      <c r="F922" s="25"/>
      <c r="G922" s="27"/>
      <c r="H922" s="74"/>
      <c r="I922" s="25"/>
      <c r="J922" s="25"/>
      <c r="K922" s="25"/>
      <c r="L922" s="25"/>
    </row>
    <row r="923" spans="2:12" x14ac:dyDescent="0.2">
      <c r="B923" s="25"/>
      <c r="C923" s="25"/>
      <c r="D923" s="25"/>
      <c r="E923" s="25"/>
      <c r="F923" s="25"/>
      <c r="G923" s="27"/>
      <c r="H923" s="74"/>
      <c r="I923" s="25"/>
      <c r="J923" s="25"/>
      <c r="K923" s="25"/>
      <c r="L923" s="25"/>
    </row>
    <row r="924" spans="2:12" x14ac:dyDescent="0.2">
      <c r="B924" s="25"/>
      <c r="C924" s="25"/>
      <c r="D924" s="25"/>
      <c r="E924" s="25"/>
      <c r="F924" s="25"/>
      <c r="G924" s="27"/>
      <c r="H924" s="74"/>
      <c r="I924" s="25"/>
      <c r="J924" s="25"/>
      <c r="K924" s="25"/>
      <c r="L924" s="25"/>
    </row>
    <row r="925" spans="2:12" x14ac:dyDescent="0.2">
      <c r="B925" s="25"/>
      <c r="C925" s="25"/>
      <c r="D925" s="25"/>
      <c r="E925" s="25"/>
      <c r="F925" s="25"/>
      <c r="G925" s="27"/>
      <c r="H925" s="74"/>
      <c r="I925" s="25"/>
      <c r="J925" s="25"/>
      <c r="K925" s="25"/>
      <c r="L925" s="25"/>
    </row>
    <row r="926" spans="2:12" x14ac:dyDescent="0.2">
      <c r="B926" s="25"/>
      <c r="C926" s="25"/>
      <c r="D926" s="25"/>
      <c r="E926" s="25"/>
      <c r="F926" s="25"/>
      <c r="G926" s="27"/>
      <c r="H926" s="74"/>
      <c r="I926" s="25"/>
      <c r="J926" s="25"/>
      <c r="K926" s="25"/>
      <c r="L926" s="25"/>
    </row>
    <row r="927" spans="2:12" x14ac:dyDescent="0.2">
      <c r="B927" s="25"/>
      <c r="C927" s="25"/>
      <c r="D927" s="25"/>
      <c r="E927" s="25"/>
      <c r="F927" s="25"/>
      <c r="G927" s="27"/>
      <c r="H927" s="74"/>
      <c r="I927" s="25"/>
      <c r="J927" s="25"/>
      <c r="K927" s="25"/>
      <c r="L927" s="25"/>
    </row>
    <row r="928" spans="2:12" x14ac:dyDescent="0.2">
      <c r="B928" s="25"/>
      <c r="C928" s="25"/>
      <c r="D928" s="25"/>
      <c r="E928" s="25"/>
      <c r="F928" s="25"/>
      <c r="G928" s="27"/>
      <c r="H928" s="74"/>
      <c r="I928" s="25"/>
      <c r="J928" s="25"/>
      <c r="K928" s="25"/>
      <c r="L928" s="25"/>
    </row>
    <row r="929" spans="2:12" x14ac:dyDescent="0.2">
      <c r="B929" s="25"/>
      <c r="C929" s="25"/>
      <c r="D929" s="25"/>
      <c r="E929" s="25"/>
      <c r="F929" s="25"/>
      <c r="G929" s="27"/>
      <c r="H929" s="74"/>
      <c r="I929" s="25"/>
      <c r="J929" s="25"/>
      <c r="K929" s="25"/>
      <c r="L929" s="25"/>
    </row>
    <row r="930" spans="2:12" x14ac:dyDescent="0.2">
      <c r="B930" s="25"/>
      <c r="C930" s="25"/>
      <c r="D930" s="25"/>
      <c r="E930" s="25"/>
      <c r="F930" s="25"/>
      <c r="G930" s="27"/>
      <c r="H930" s="74"/>
      <c r="I930" s="25"/>
      <c r="J930" s="25"/>
      <c r="K930" s="25"/>
      <c r="L930" s="25"/>
    </row>
    <row r="931" spans="2:12" x14ac:dyDescent="0.2">
      <c r="B931" s="25"/>
      <c r="C931" s="25"/>
      <c r="D931" s="25"/>
      <c r="E931" s="25"/>
      <c r="F931" s="25"/>
      <c r="G931" s="27"/>
      <c r="H931" s="74"/>
      <c r="I931" s="25"/>
      <c r="J931" s="25"/>
      <c r="K931" s="25"/>
      <c r="L931" s="25"/>
    </row>
    <row r="932" spans="2:12" x14ac:dyDescent="0.2">
      <c r="B932" s="25"/>
      <c r="C932" s="25"/>
      <c r="D932" s="25"/>
      <c r="E932" s="25"/>
      <c r="F932" s="25"/>
      <c r="G932" s="27"/>
      <c r="H932" s="74"/>
      <c r="I932" s="25"/>
      <c r="J932" s="25"/>
      <c r="K932" s="25"/>
      <c r="L932" s="25"/>
    </row>
    <row r="933" spans="2:12" x14ac:dyDescent="0.2">
      <c r="B933" s="25"/>
      <c r="C933" s="25"/>
      <c r="D933" s="25"/>
      <c r="E933" s="25"/>
      <c r="F933" s="25"/>
      <c r="G933" s="27"/>
      <c r="H933" s="74"/>
      <c r="I933" s="25"/>
      <c r="J933" s="25"/>
      <c r="K933" s="25"/>
      <c r="L933" s="25"/>
    </row>
    <row r="934" spans="2:12" x14ac:dyDescent="0.2">
      <c r="B934" s="25"/>
      <c r="C934" s="25"/>
      <c r="D934" s="25"/>
      <c r="E934" s="25"/>
      <c r="F934" s="25"/>
      <c r="G934" s="27"/>
      <c r="H934" s="74"/>
      <c r="I934" s="25"/>
      <c r="J934" s="25"/>
      <c r="K934" s="25"/>
      <c r="L934" s="25"/>
    </row>
    <row r="935" spans="2:12" x14ac:dyDescent="0.2">
      <c r="B935" s="25"/>
      <c r="C935" s="25"/>
      <c r="D935" s="25"/>
      <c r="E935" s="25"/>
      <c r="F935" s="25"/>
      <c r="G935" s="27"/>
      <c r="H935" s="74"/>
      <c r="I935" s="25"/>
      <c r="J935" s="25"/>
      <c r="K935" s="25"/>
      <c r="L935" s="25"/>
    </row>
    <row r="936" spans="2:12" x14ac:dyDescent="0.2">
      <c r="B936" s="25"/>
      <c r="C936" s="25"/>
      <c r="D936" s="25"/>
      <c r="E936" s="25"/>
      <c r="F936" s="25"/>
      <c r="G936" s="27"/>
      <c r="H936" s="74"/>
      <c r="I936" s="25"/>
      <c r="J936" s="25"/>
      <c r="K936" s="25"/>
      <c r="L936" s="25"/>
    </row>
    <row r="937" spans="2:12" x14ac:dyDescent="0.2">
      <c r="B937" s="25"/>
      <c r="C937" s="25"/>
      <c r="D937" s="25"/>
      <c r="E937" s="25"/>
      <c r="F937" s="25"/>
      <c r="G937" s="27"/>
      <c r="H937" s="74"/>
      <c r="I937" s="25"/>
      <c r="J937" s="25"/>
      <c r="K937" s="25"/>
      <c r="L937" s="25"/>
    </row>
    <row r="938" spans="2:12" x14ac:dyDescent="0.2">
      <c r="B938" s="25"/>
      <c r="C938" s="25"/>
      <c r="D938" s="25"/>
      <c r="E938" s="25"/>
      <c r="F938" s="25"/>
      <c r="G938" s="27"/>
      <c r="H938" s="74"/>
      <c r="I938" s="25"/>
      <c r="J938" s="25"/>
      <c r="K938" s="25"/>
      <c r="L938" s="25"/>
    </row>
    <row r="939" spans="2:12" x14ac:dyDescent="0.2">
      <c r="B939" s="25"/>
      <c r="C939" s="25"/>
      <c r="D939" s="25"/>
      <c r="E939" s="25"/>
      <c r="F939" s="25"/>
      <c r="G939" s="27"/>
      <c r="H939" s="74"/>
      <c r="I939" s="25"/>
      <c r="J939" s="25"/>
      <c r="K939" s="25"/>
      <c r="L939" s="25"/>
    </row>
    <row r="940" spans="2:12" x14ac:dyDescent="0.2">
      <c r="B940" s="25"/>
      <c r="C940" s="25"/>
      <c r="D940" s="25"/>
      <c r="E940" s="25"/>
      <c r="F940" s="25"/>
      <c r="G940" s="27"/>
      <c r="H940" s="74"/>
      <c r="I940" s="25"/>
      <c r="J940" s="25"/>
      <c r="K940" s="25"/>
      <c r="L940" s="25"/>
    </row>
    <row r="941" spans="2:12" x14ac:dyDescent="0.2">
      <c r="B941" s="25"/>
      <c r="C941" s="25"/>
      <c r="D941" s="25"/>
      <c r="E941" s="25"/>
      <c r="F941" s="25"/>
      <c r="G941" s="27"/>
      <c r="H941" s="74"/>
      <c r="I941" s="25"/>
      <c r="J941" s="25"/>
      <c r="K941" s="25"/>
      <c r="L941" s="25"/>
    </row>
    <row r="942" spans="2:12" x14ac:dyDescent="0.2">
      <c r="B942" s="25"/>
      <c r="C942" s="25"/>
      <c r="D942" s="25"/>
      <c r="E942" s="25"/>
      <c r="F942" s="25"/>
      <c r="G942" s="27"/>
      <c r="H942" s="74"/>
      <c r="I942" s="25"/>
      <c r="J942" s="25"/>
      <c r="K942" s="25"/>
      <c r="L942" s="25"/>
    </row>
    <row r="943" spans="2:12" x14ac:dyDescent="0.2">
      <c r="B943" s="25"/>
      <c r="C943" s="25"/>
      <c r="D943" s="25"/>
      <c r="E943" s="25"/>
      <c r="F943" s="25"/>
      <c r="G943" s="27"/>
      <c r="H943" s="74"/>
      <c r="I943" s="25"/>
      <c r="J943" s="25"/>
      <c r="K943" s="25"/>
      <c r="L943" s="25"/>
    </row>
    <row r="944" spans="2:12" x14ac:dyDescent="0.2">
      <c r="B944" s="25"/>
      <c r="C944" s="25"/>
      <c r="D944" s="25"/>
      <c r="E944" s="25"/>
      <c r="F944" s="25"/>
      <c r="G944" s="27"/>
      <c r="H944" s="74"/>
      <c r="I944" s="25"/>
      <c r="J944" s="25"/>
      <c r="K944" s="25"/>
      <c r="L944" s="25"/>
    </row>
    <row r="945" spans="2:12" x14ac:dyDescent="0.2">
      <c r="B945" s="25"/>
      <c r="C945" s="25"/>
      <c r="D945" s="25"/>
      <c r="E945" s="25"/>
      <c r="F945" s="25"/>
      <c r="G945" s="27"/>
      <c r="H945" s="74"/>
      <c r="I945" s="25"/>
      <c r="J945" s="25"/>
      <c r="K945" s="25"/>
      <c r="L945" s="25"/>
    </row>
    <row r="946" spans="2:12" x14ac:dyDescent="0.2">
      <c r="B946" s="25"/>
      <c r="C946" s="25"/>
      <c r="D946" s="25"/>
      <c r="E946" s="25"/>
      <c r="F946" s="25"/>
      <c r="G946" s="27"/>
      <c r="H946" s="74"/>
      <c r="I946" s="25"/>
      <c r="J946" s="25"/>
      <c r="K946" s="25"/>
      <c r="L946" s="25"/>
    </row>
    <row r="947" spans="2:12" x14ac:dyDescent="0.2">
      <c r="B947" s="25"/>
      <c r="C947" s="25"/>
      <c r="D947" s="25"/>
      <c r="E947" s="25"/>
      <c r="F947" s="25"/>
      <c r="G947" s="27"/>
      <c r="H947" s="74"/>
      <c r="I947" s="25"/>
      <c r="J947" s="25"/>
      <c r="K947" s="25"/>
      <c r="L947" s="25"/>
    </row>
    <row r="948" spans="2:12" x14ac:dyDescent="0.2">
      <c r="B948" s="25"/>
      <c r="C948" s="25"/>
      <c r="D948" s="25"/>
      <c r="E948" s="25"/>
      <c r="F948" s="25"/>
      <c r="G948" s="27"/>
      <c r="H948" s="74"/>
      <c r="I948" s="25"/>
      <c r="J948" s="25"/>
      <c r="K948" s="25"/>
      <c r="L948" s="25"/>
    </row>
    <row r="949" spans="2:12" x14ac:dyDescent="0.2">
      <c r="B949" s="25"/>
      <c r="C949" s="25"/>
      <c r="D949" s="25"/>
      <c r="E949" s="25"/>
      <c r="F949" s="25"/>
      <c r="G949" s="27"/>
      <c r="H949" s="74"/>
      <c r="I949" s="25"/>
      <c r="J949" s="25"/>
      <c r="K949" s="25"/>
      <c r="L949" s="25"/>
    </row>
    <row r="950" spans="2:12" x14ac:dyDescent="0.2">
      <c r="B950" s="25"/>
      <c r="C950" s="25"/>
      <c r="D950" s="25"/>
      <c r="E950" s="25"/>
      <c r="F950" s="25"/>
      <c r="G950" s="27"/>
      <c r="H950" s="74"/>
      <c r="I950" s="25"/>
      <c r="J950" s="25"/>
      <c r="K950" s="25"/>
      <c r="L950" s="25"/>
    </row>
    <row r="951" spans="2:12" x14ac:dyDescent="0.2">
      <c r="B951" s="25"/>
      <c r="C951" s="25"/>
      <c r="D951" s="25"/>
      <c r="E951" s="25"/>
      <c r="F951" s="25"/>
      <c r="G951" s="27"/>
      <c r="H951" s="74"/>
      <c r="I951" s="25"/>
      <c r="J951" s="25"/>
      <c r="K951" s="25"/>
      <c r="L951" s="25"/>
    </row>
    <row r="952" spans="2:12" x14ac:dyDescent="0.2">
      <c r="B952" s="25"/>
      <c r="C952" s="25"/>
      <c r="D952" s="25"/>
      <c r="E952" s="25"/>
      <c r="F952" s="25"/>
      <c r="G952" s="27"/>
      <c r="H952" s="74"/>
      <c r="I952" s="25"/>
      <c r="J952" s="25"/>
      <c r="K952" s="25"/>
      <c r="L952" s="25"/>
    </row>
    <row r="953" spans="2:12" x14ac:dyDescent="0.2">
      <c r="B953" s="25"/>
      <c r="C953" s="25"/>
      <c r="D953" s="25"/>
      <c r="E953" s="25"/>
      <c r="F953" s="25"/>
      <c r="G953" s="27"/>
      <c r="H953" s="74"/>
      <c r="I953" s="25"/>
      <c r="J953" s="25"/>
      <c r="K953" s="25"/>
      <c r="L953" s="25"/>
    </row>
    <row r="954" spans="2:12" x14ac:dyDescent="0.2">
      <c r="B954" s="25"/>
      <c r="C954" s="25"/>
      <c r="D954" s="25"/>
      <c r="E954" s="25"/>
      <c r="F954" s="25"/>
      <c r="G954" s="27"/>
      <c r="H954" s="74"/>
      <c r="I954" s="25"/>
      <c r="J954" s="25"/>
      <c r="K954" s="25"/>
      <c r="L954" s="25"/>
    </row>
    <row r="955" spans="2:12" x14ac:dyDescent="0.2">
      <c r="B955" s="25"/>
      <c r="C955" s="25"/>
      <c r="D955" s="25"/>
      <c r="E955" s="25"/>
      <c r="F955" s="25"/>
      <c r="G955" s="27"/>
      <c r="H955" s="74"/>
      <c r="I955" s="25"/>
      <c r="J955" s="25"/>
      <c r="K955" s="25"/>
      <c r="L955" s="25"/>
    </row>
    <row r="956" spans="2:12" x14ac:dyDescent="0.2">
      <c r="B956" s="25"/>
      <c r="C956" s="25"/>
      <c r="D956" s="25"/>
      <c r="E956" s="25"/>
      <c r="F956" s="25"/>
      <c r="G956" s="27"/>
      <c r="H956" s="74"/>
      <c r="I956" s="25"/>
      <c r="J956" s="25"/>
      <c r="K956" s="25"/>
      <c r="L956" s="25"/>
    </row>
    <row r="957" spans="2:12" x14ac:dyDescent="0.2">
      <c r="B957" s="25"/>
      <c r="C957" s="25"/>
      <c r="D957" s="25"/>
      <c r="E957" s="25"/>
      <c r="F957" s="25"/>
      <c r="G957" s="27"/>
      <c r="H957" s="74"/>
      <c r="I957" s="25"/>
      <c r="J957" s="25"/>
      <c r="K957" s="25"/>
      <c r="L957" s="25"/>
    </row>
    <row r="958" spans="2:12" x14ac:dyDescent="0.2">
      <c r="B958" s="25"/>
      <c r="C958" s="25"/>
      <c r="D958" s="25"/>
      <c r="E958" s="25"/>
      <c r="F958" s="25"/>
      <c r="G958" s="27"/>
      <c r="H958" s="74"/>
      <c r="I958" s="25"/>
      <c r="J958" s="25"/>
      <c r="K958" s="25"/>
      <c r="L958" s="25"/>
    </row>
    <row r="959" spans="2:12" x14ac:dyDescent="0.2">
      <c r="B959" s="25"/>
      <c r="C959" s="25"/>
      <c r="D959" s="25"/>
      <c r="E959" s="25"/>
      <c r="F959" s="25"/>
      <c r="G959" s="27"/>
      <c r="H959" s="74"/>
      <c r="I959" s="25"/>
      <c r="J959" s="25"/>
      <c r="K959" s="25"/>
      <c r="L959" s="25"/>
    </row>
    <row r="960" spans="2:12" x14ac:dyDescent="0.2">
      <c r="B960" s="25"/>
      <c r="C960" s="25"/>
      <c r="D960" s="25"/>
      <c r="E960" s="25"/>
      <c r="F960" s="25"/>
      <c r="G960" s="27"/>
      <c r="H960" s="74"/>
      <c r="I960" s="25"/>
      <c r="J960" s="25"/>
      <c r="K960" s="25"/>
      <c r="L960" s="25"/>
    </row>
    <row r="961" spans="2:12" x14ac:dyDescent="0.2">
      <c r="B961" s="25"/>
      <c r="C961" s="25"/>
      <c r="D961" s="25"/>
      <c r="E961" s="25"/>
      <c r="F961" s="25"/>
      <c r="G961" s="27"/>
      <c r="H961" s="74"/>
      <c r="I961" s="25"/>
      <c r="J961" s="25"/>
      <c r="K961" s="25"/>
      <c r="L961" s="25"/>
    </row>
    <row r="962" spans="2:12" x14ac:dyDescent="0.2">
      <c r="B962" s="25"/>
      <c r="C962" s="25"/>
      <c r="D962" s="25"/>
      <c r="E962" s="25"/>
      <c r="F962" s="25"/>
      <c r="G962" s="27"/>
      <c r="H962" s="74"/>
      <c r="I962" s="25"/>
      <c r="J962" s="25"/>
      <c r="K962" s="25"/>
      <c r="L962" s="25"/>
    </row>
    <row r="963" spans="2:12" x14ac:dyDescent="0.2">
      <c r="B963" s="25"/>
      <c r="C963" s="25"/>
      <c r="D963" s="25"/>
      <c r="E963" s="25"/>
      <c r="F963" s="25"/>
      <c r="G963" s="27"/>
      <c r="H963" s="74"/>
      <c r="I963" s="25"/>
      <c r="J963" s="25"/>
      <c r="K963" s="25"/>
      <c r="L963" s="25"/>
    </row>
    <row r="964" spans="2:12" x14ac:dyDescent="0.2">
      <c r="B964" s="25"/>
      <c r="C964" s="25"/>
      <c r="D964" s="25"/>
      <c r="E964" s="25"/>
      <c r="F964" s="25"/>
      <c r="G964" s="27"/>
      <c r="H964" s="74"/>
      <c r="I964" s="25"/>
      <c r="J964" s="25"/>
      <c r="K964" s="25"/>
      <c r="L964" s="25"/>
    </row>
    <row r="965" spans="2:12" x14ac:dyDescent="0.2">
      <c r="B965" s="25"/>
      <c r="C965" s="25"/>
      <c r="D965" s="25"/>
      <c r="E965" s="25"/>
      <c r="F965" s="25"/>
      <c r="G965" s="27"/>
      <c r="H965" s="74"/>
      <c r="I965" s="25"/>
      <c r="J965" s="25"/>
      <c r="K965" s="25"/>
      <c r="L965" s="25"/>
    </row>
    <row r="966" spans="2:12" x14ac:dyDescent="0.2">
      <c r="B966" s="25"/>
      <c r="C966" s="25"/>
      <c r="D966" s="25"/>
      <c r="E966" s="25"/>
      <c r="F966" s="25"/>
      <c r="G966" s="27"/>
      <c r="H966" s="74"/>
      <c r="I966" s="25"/>
      <c r="J966" s="25"/>
      <c r="K966" s="25"/>
      <c r="L966" s="25"/>
    </row>
    <row r="967" spans="2:12" x14ac:dyDescent="0.2">
      <c r="B967" s="25"/>
      <c r="C967" s="25"/>
      <c r="D967" s="25"/>
      <c r="E967" s="25"/>
      <c r="F967" s="25"/>
      <c r="G967" s="27"/>
      <c r="H967" s="74"/>
      <c r="I967" s="25"/>
      <c r="J967" s="25"/>
      <c r="K967" s="25"/>
      <c r="L967" s="25"/>
    </row>
    <row r="968" spans="2:12" x14ac:dyDescent="0.2">
      <c r="B968" s="25"/>
      <c r="C968" s="25"/>
      <c r="D968" s="25"/>
      <c r="E968" s="25"/>
      <c r="F968" s="25"/>
      <c r="G968" s="27"/>
      <c r="H968" s="74"/>
      <c r="I968" s="25"/>
      <c r="J968" s="25"/>
      <c r="K968" s="25"/>
      <c r="L968" s="25"/>
    </row>
    <row r="969" spans="2:12" x14ac:dyDescent="0.2">
      <c r="B969" s="25"/>
      <c r="C969" s="25"/>
      <c r="D969" s="25"/>
      <c r="E969" s="25"/>
      <c r="F969" s="25"/>
      <c r="G969" s="27"/>
      <c r="H969" s="74"/>
      <c r="I969" s="25"/>
      <c r="J969" s="25"/>
      <c r="K969" s="25"/>
      <c r="L969" s="25"/>
    </row>
    <row r="970" spans="2:12" x14ac:dyDescent="0.2">
      <c r="B970" s="25"/>
      <c r="C970" s="25"/>
      <c r="D970" s="25"/>
      <c r="E970" s="25"/>
      <c r="F970" s="25"/>
      <c r="G970" s="27"/>
      <c r="H970" s="74"/>
      <c r="I970" s="25"/>
      <c r="J970" s="25"/>
      <c r="K970" s="25"/>
      <c r="L970" s="25"/>
    </row>
    <row r="971" spans="2:12" x14ac:dyDescent="0.2">
      <c r="B971" s="25"/>
      <c r="C971" s="25"/>
      <c r="D971" s="25"/>
      <c r="E971" s="25"/>
      <c r="F971" s="25"/>
      <c r="G971" s="27"/>
      <c r="H971" s="74"/>
      <c r="I971" s="25"/>
      <c r="J971" s="25"/>
      <c r="K971" s="25"/>
      <c r="L971" s="25"/>
    </row>
    <row r="972" spans="2:12" x14ac:dyDescent="0.2">
      <c r="B972" s="25"/>
      <c r="C972" s="25"/>
      <c r="D972" s="25"/>
      <c r="E972" s="25"/>
      <c r="F972" s="25"/>
      <c r="G972" s="27"/>
      <c r="H972" s="74"/>
      <c r="I972" s="25"/>
      <c r="J972" s="25"/>
      <c r="K972" s="25"/>
      <c r="L972" s="25"/>
    </row>
    <row r="973" spans="2:12" x14ac:dyDescent="0.2">
      <c r="B973" s="25"/>
      <c r="C973" s="25"/>
      <c r="D973" s="25"/>
      <c r="E973" s="25"/>
      <c r="F973" s="25"/>
      <c r="G973" s="27"/>
      <c r="H973" s="74"/>
      <c r="I973" s="25"/>
      <c r="J973" s="25"/>
      <c r="K973" s="25"/>
      <c r="L973" s="25"/>
    </row>
    <row r="974" spans="2:12" x14ac:dyDescent="0.2">
      <c r="B974" s="25"/>
      <c r="C974" s="25"/>
      <c r="D974" s="25"/>
      <c r="E974" s="25"/>
      <c r="F974" s="25"/>
      <c r="G974" s="27"/>
      <c r="H974" s="74"/>
      <c r="I974" s="25"/>
      <c r="J974" s="25"/>
      <c r="K974" s="25"/>
      <c r="L974" s="25"/>
    </row>
    <row r="975" spans="2:12" x14ac:dyDescent="0.2">
      <c r="B975" s="25"/>
      <c r="C975" s="25"/>
      <c r="D975" s="25"/>
      <c r="E975" s="25"/>
      <c r="F975" s="25"/>
      <c r="G975" s="27"/>
      <c r="H975" s="74"/>
      <c r="I975" s="25"/>
      <c r="J975" s="25"/>
      <c r="K975" s="25"/>
      <c r="L975" s="25"/>
    </row>
    <row r="976" spans="2:12" x14ac:dyDescent="0.2">
      <c r="B976" s="25"/>
      <c r="C976" s="25"/>
      <c r="D976" s="25"/>
      <c r="E976" s="25"/>
      <c r="F976" s="25"/>
      <c r="G976" s="27"/>
      <c r="H976" s="74"/>
      <c r="I976" s="25"/>
      <c r="J976" s="25"/>
      <c r="K976" s="25"/>
      <c r="L976" s="25"/>
    </row>
    <row r="977" spans="2:12" x14ac:dyDescent="0.2">
      <c r="B977" s="25"/>
      <c r="C977" s="25"/>
      <c r="D977" s="25"/>
      <c r="E977" s="25"/>
      <c r="F977" s="25"/>
      <c r="G977" s="27"/>
      <c r="H977" s="74"/>
      <c r="I977" s="25"/>
      <c r="J977" s="25"/>
      <c r="K977" s="25"/>
      <c r="L977" s="25"/>
    </row>
    <row r="978" spans="2:12" x14ac:dyDescent="0.2">
      <c r="B978" s="25"/>
      <c r="C978" s="25"/>
      <c r="D978" s="25"/>
      <c r="E978" s="25"/>
      <c r="F978" s="25"/>
      <c r="G978" s="27"/>
      <c r="H978" s="74"/>
      <c r="I978" s="25"/>
      <c r="J978" s="25"/>
      <c r="K978" s="25"/>
      <c r="L978" s="25"/>
    </row>
    <row r="979" spans="2:12" x14ac:dyDescent="0.2">
      <c r="B979" s="25"/>
      <c r="C979" s="25"/>
      <c r="D979" s="25"/>
      <c r="E979" s="25"/>
      <c r="F979" s="25"/>
      <c r="G979" s="27"/>
      <c r="H979" s="74"/>
      <c r="I979" s="25"/>
      <c r="J979" s="25"/>
      <c r="K979" s="25"/>
      <c r="L979" s="25"/>
    </row>
    <row r="980" spans="2:12" x14ac:dyDescent="0.2">
      <c r="B980" s="25"/>
      <c r="C980" s="25"/>
      <c r="D980" s="25"/>
      <c r="E980" s="25"/>
      <c r="F980" s="25"/>
      <c r="G980" s="27"/>
      <c r="H980" s="74"/>
      <c r="I980" s="25"/>
      <c r="J980" s="25"/>
      <c r="K980" s="25"/>
      <c r="L980" s="25"/>
    </row>
    <row r="981" spans="2:12" x14ac:dyDescent="0.2">
      <c r="B981" s="25"/>
      <c r="C981" s="25"/>
      <c r="D981" s="25"/>
      <c r="E981" s="25"/>
      <c r="F981" s="25"/>
      <c r="G981" s="27"/>
      <c r="H981" s="74"/>
      <c r="I981" s="25"/>
      <c r="J981" s="25"/>
      <c r="K981" s="25"/>
      <c r="L981" s="25"/>
    </row>
    <row r="982" spans="2:12" x14ac:dyDescent="0.2">
      <c r="B982" s="25"/>
      <c r="C982" s="25"/>
      <c r="D982" s="25"/>
      <c r="E982" s="25"/>
      <c r="F982" s="25"/>
      <c r="G982" s="27"/>
      <c r="H982" s="74"/>
      <c r="I982" s="25"/>
      <c r="J982" s="25"/>
      <c r="K982" s="25"/>
      <c r="L982" s="25"/>
    </row>
    <row r="983" spans="2:12" x14ac:dyDescent="0.2">
      <c r="B983" s="25"/>
      <c r="C983" s="25"/>
      <c r="D983" s="25"/>
      <c r="E983" s="25"/>
      <c r="F983" s="25"/>
      <c r="G983" s="27"/>
      <c r="H983" s="74"/>
      <c r="I983" s="25"/>
      <c r="J983" s="25"/>
      <c r="K983" s="25"/>
      <c r="L983" s="25"/>
    </row>
    <row r="984" spans="2:12" x14ac:dyDescent="0.2">
      <c r="B984" s="25"/>
      <c r="C984" s="25"/>
      <c r="D984" s="25"/>
      <c r="E984" s="25"/>
      <c r="F984" s="25"/>
      <c r="G984" s="27"/>
      <c r="H984" s="74"/>
      <c r="I984" s="25"/>
      <c r="J984" s="25"/>
      <c r="K984" s="25"/>
      <c r="L984" s="25"/>
    </row>
    <row r="985" spans="2:12" x14ac:dyDescent="0.2">
      <c r="B985" s="25"/>
      <c r="C985" s="25"/>
      <c r="D985" s="25"/>
      <c r="E985" s="25"/>
      <c r="F985" s="25"/>
      <c r="G985" s="27"/>
      <c r="H985" s="74"/>
      <c r="I985" s="25"/>
      <c r="J985" s="25"/>
      <c r="K985" s="25"/>
      <c r="L985" s="25"/>
    </row>
    <row r="986" spans="2:12" x14ac:dyDescent="0.2">
      <c r="B986" s="25"/>
      <c r="C986" s="25"/>
      <c r="D986" s="25"/>
      <c r="E986" s="25"/>
      <c r="F986" s="25"/>
      <c r="G986" s="27"/>
      <c r="H986" s="74"/>
      <c r="I986" s="25"/>
      <c r="J986" s="25"/>
      <c r="K986" s="25"/>
      <c r="L986" s="25"/>
    </row>
    <row r="987" spans="2:12" x14ac:dyDescent="0.2">
      <c r="B987" s="25"/>
      <c r="C987" s="25"/>
      <c r="D987" s="25"/>
      <c r="E987" s="25"/>
      <c r="F987" s="25"/>
      <c r="G987" s="27"/>
      <c r="H987" s="74"/>
      <c r="I987" s="25"/>
      <c r="J987" s="25"/>
      <c r="K987" s="25"/>
      <c r="L987" s="25"/>
    </row>
    <row r="988" spans="2:12" x14ac:dyDescent="0.2">
      <c r="B988" s="25"/>
      <c r="C988" s="25"/>
      <c r="D988" s="25"/>
      <c r="E988" s="25"/>
      <c r="F988" s="25"/>
      <c r="G988" s="27"/>
      <c r="H988" s="74"/>
      <c r="I988" s="25"/>
      <c r="J988" s="25"/>
      <c r="K988" s="25"/>
      <c r="L988" s="25"/>
    </row>
    <row r="989" spans="2:12" x14ac:dyDescent="0.2">
      <c r="B989" s="25"/>
      <c r="C989" s="25"/>
      <c r="D989" s="25"/>
      <c r="E989" s="25"/>
      <c r="F989" s="25"/>
      <c r="G989" s="27"/>
      <c r="H989" s="74"/>
      <c r="I989" s="25"/>
      <c r="J989" s="25"/>
      <c r="K989" s="25"/>
      <c r="L989" s="25"/>
    </row>
    <row r="990" spans="2:12" x14ac:dyDescent="0.2">
      <c r="B990" s="25"/>
      <c r="C990" s="25"/>
      <c r="D990" s="25"/>
      <c r="E990" s="25"/>
      <c r="F990" s="25"/>
      <c r="G990" s="27"/>
      <c r="H990" s="74"/>
      <c r="I990" s="25"/>
      <c r="J990" s="25"/>
      <c r="K990" s="25"/>
      <c r="L990" s="25"/>
    </row>
    <row r="991" spans="2:12" x14ac:dyDescent="0.2">
      <c r="B991" s="25"/>
      <c r="C991" s="25"/>
      <c r="D991" s="25"/>
      <c r="E991" s="25"/>
      <c r="F991" s="25"/>
      <c r="G991" s="27"/>
      <c r="H991" s="74"/>
      <c r="I991" s="25"/>
      <c r="J991" s="25"/>
      <c r="K991" s="25"/>
      <c r="L991" s="25"/>
    </row>
    <row r="992" spans="2:12" x14ac:dyDescent="0.2">
      <c r="B992" s="25"/>
      <c r="C992" s="25"/>
      <c r="D992" s="25"/>
      <c r="E992" s="25"/>
      <c r="F992" s="25"/>
      <c r="G992" s="27"/>
      <c r="H992" s="74"/>
      <c r="I992" s="25"/>
      <c r="J992" s="25"/>
      <c r="K992" s="25"/>
      <c r="L992" s="25"/>
    </row>
    <row r="993" spans="2:12" x14ac:dyDescent="0.2">
      <c r="B993" s="25"/>
      <c r="C993" s="25"/>
      <c r="D993" s="25"/>
      <c r="E993" s="25"/>
      <c r="F993" s="25"/>
      <c r="G993" s="27"/>
      <c r="H993" s="74"/>
      <c r="I993" s="25"/>
      <c r="J993" s="25"/>
      <c r="K993" s="25"/>
      <c r="L993" s="25"/>
    </row>
    <row r="994" spans="2:12" x14ac:dyDescent="0.2">
      <c r="B994" s="25"/>
      <c r="C994" s="25"/>
      <c r="D994" s="25"/>
      <c r="E994" s="25"/>
      <c r="F994" s="25"/>
      <c r="G994" s="27"/>
      <c r="H994" s="74"/>
      <c r="I994" s="25"/>
      <c r="J994" s="25"/>
      <c r="K994" s="25"/>
      <c r="L994" s="25"/>
    </row>
    <row r="995" spans="2:12" x14ac:dyDescent="0.2">
      <c r="B995" s="25"/>
      <c r="C995" s="25"/>
      <c r="D995" s="25"/>
      <c r="E995" s="25"/>
      <c r="F995" s="25"/>
      <c r="G995" s="27"/>
      <c r="H995" s="74"/>
      <c r="I995" s="25"/>
      <c r="J995" s="25"/>
      <c r="K995" s="25"/>
      <c r="L995" s="25"/>
    </row>
    <row r="996" spans="2:12" x14ac:dyDescent="0.2">
      <c r="B996" s="25"/>
      <c r="C996" s="25"/>
      <c r="D996" s="25"/>
      <c r="E996" s="25"/>
      <c r="F996" s="25"/>
      <c r="G996" s="27"/>
      <c r="H996" s="74"/>
      <c r="J996" s="25"/>
      <c r="K996" s="25"/>
      <c r="L996" s="25"/>
    </row>
    <row r="997" spans="2:12" x14ac:dyDescent="0.2">
      <c r="B997" s="25"/>
      <c r="C997" s="25"/>
      <c r="D997" s="25"/>
      <c r="E997" s="25"/>
      <c r="F997" s="25"/>
      <c r="G997" s="27"/>
      <c r="H997" s="74"/>
      <c r="J997" s="25"/>
      <c r="K997" s="25"/>
      <c r="L997" s="25"/>
    </row>
    <row r="998" spans="2:12" x14ac:dyDescent="0.2">
      <c r="B998" s="25"/>
      <c r="C998" s="25"/>
      <c r="D998" s="25"/>
      <c r="E998" s="25"/>
      <c r="F998" s="25"/>
      <c r="G998" s="27"/>
      <c r="H998" s="74"/>
      <c r="J998" s="25"/>
      <c r="K998" s="25"/>
      <c r="L998" s="25"/>
    </row>
    <row r="999" spans="2:12" x14ac:dyDescent="0.2">
      <c r="B999" s="25"/>
      <c r="C999" s="25"/>
      <c r="D999" s="25"/>
      <c r="E999" s="25"/>
      <c r="F999" s="25"/>
      <c r="G999" s="27"/>
      <c r="H999" s="74"/>
      <c r="J999" s="25"/>
      <c r="K999" s="25"/>
      <c r="L999" s="25"/>
    </row>
    <row r="1000" spans="2:12" x14ac:dyDescent="0.2">
      <c r="B1000" s="25"/>
      <c r="C1000" s="25"/>
      <c r="D1000" s="25"/>
      <c r="E1000" s="25"/>
      <c r="F1000" s="25"/>
      <c r="G1000" s="27"/>
      <c r="H1000" s="74"/>
      <c r="J1000" s="25"/>
      <c r="K1000" s="25"/>
      <c r="L1000" s="25"/>
    </row>
    <row r="1001" spans="2:12" x14ac:dyDescent="0.2">
      <c r="B1001" s="25"/>
      <c r="C1001" s="25"/>
      <c r="D1001" s="25"/>
      <c r="E1001" s="25"/>
      <c r="F1001" s="25"/>
      <c r="G1001" s="27"/>
      <c r="H1001" s="74"/>
      <c r="J1001" s="25"/>
      <c r="K1001" s="25"/>
      <c r="L1001" s="25"/>
    </row>
    <row r="1002" spans="2:12" x14ac:dyDescent="0.2">
      <c r="B1002" s="25"/>
      <c r="C1002" s="25"/>
      <c r="D1002" s="25"/>
      <c r="E1002" s="25"/>
      <c r="F1002" s="25"/>
      <c r="G1002" s="27"/>
      <c r="H1002" s="74"/>
      <c r="J1002" s="25"/>
      <c r="K1002" s="25"/>
      <c r="L1002" s="25"/>
    </row>
    <row r="1003" spans="2:12" x14ac:dyDescent="0.2">
      <c r="B1003" s="25"/>
      <c r="C1003" s="25"/>
      <c r="D1003" s="25"/>
      <c r="E1003" s="25"/>
      <c r="F1003" s="25"/>
      <c r="G1003" s="27"/>
      <c r="H1003" s="74"/>
      <c r="J1003" s="25"/>
      <c r="K1003" s="25"/>
      <c r="L1003" s="25"/>
    </row>
    <row r="1004" spans="2:12" x14ac:dyDescent="0.2">
      <c r="B1004" s="25"/>
      <c r="C1004" s="25"/>
      <c r="D1004" s="25"/>
      <c r="E1004" s="25"/>
      <c r="F1004" s="25"/>
      <c r="G1004" s="27"/>
      <c r="H1004" s="74"/>
      <c r="J1004" s="25"/>
      <c r="K1004" s="25"/>
      <c r="L1004" s="25"/>
    </row>
    <row r="1005" spans="2:12" x14ac:dyDescent="0.2">
      <c r="B1005" s="25"/>
      <c r="C1005" s="25"/>
      <c r="D1005" s="25"/>
      <c r="E1005" s="25"/>
      <c r="F1005" s="25"/>
      <c r="G1005" s="27"/>
      <c r="H1005" s="74"/>
      <c r="J1005" s="25"/>
      <c r="K1005" s="25"/>
      <c r="L1005" s="25"/>
    </row>
    <row r="1006" spans="2:12" x14ac:dyDescent="0.2">
      <c r="B1006" s="25"/>
      <c r="C1006" s="25"/>
      <c r="D1006" s="25"/>
      <c r="E1006" s="25"/>
      <c r="F1006" s="25"/>
      <c r="G1006" s="27"/>
      <c r="H1006" s="74"/>
      <c r="J1006" s="25"/>
      <c r="K1006" s="25"/>
      <c r="L1006" s="25"/>
    </row>
    <row r="1007" spans="2:12" x14ac:dyDescent="0.2">
      <c r="B1007" s="25"/>
      <c r="C1007" s="25"/>
      <c r="D1007" s="25"/>
      <c r="E1007" s="25"/>
      <c r="F1007" s="25"/>
      <c r="G1007" s="27"/>
      <c r="H1007" s="74"/>
      <c r="J1007" s="25"/>
      <c r="K1007" s="25"/>
      <c r="L1007" s="25"/>
    </row>
    <row r="1008" spans="2:12" x14ac:dyDescent="0.2">
      <c r="B1008" s="25"/>
      <c r="C1008" s="25"/>
      <c r="D1008" s="25"/>
      <c r="E1008" s="25"/>
      <c r="F1008" s="25"/>
      <c r="G1008" s="27"/>
      <c r="H1008" s="74"/>
      <c r="J1008" s="25"/>
      <c r="K1008" s="25"/>
      <c r="L1008" s="25"/>
    </row>
    <row r="1009" spans="2:12" x14ac:dyDescent="0.2">
      <c r="B1009" s="25"/>
      <c r="C1009" s="25"/>
      <c r="D1009" s="25"/>
      <c r="E1009" s="25"/>
      <c r="F1009" s="25"/>
      <c r="G1009" s="27"/>
      <c r="H1009" s="74"/>
      <c r="J1009" s="25"/>
      <c r="K1009" s="25"/>
      <c r="L1009" s="25"/>
    </row>
    <row r="1010" spans="2:12" x14ac:dyDescent="0.2">
      <c r="B1010" s="25"/>
      <c r="C1010" s="25"/>
      <c r="D1010" s="25"/>
      <c r="E1010" s="25"/>
      <c r="F1010" s="25"/>
      <c r="G1010" s="27"/>
      <c r="H1010" s="74"/>
      <c r="J1010" s="25"/>
      <c r="K1010" s="25"/>
      <c r="L1010" s="25"/>
    </row>
    <row r="3009" spans="2:12" x14ac:dyDescent="0.2">
      <c r="B3009" s="25"/>
      <c r="C3009" s="25"/>
      <c r="D3009" s="25"/>
      <c r="E3009" s="25"/>
      <c r="F3009" s="25"/>
      <c r="G3009" s="27"/>
      <c r="H3009" s="25"/>
      <c r="I3009" s="25"/>
      <c r="L3009" s="25"/>
    </row>
    <row r="3024" spans="2:12" x14ac:dyDescent="0.2">
      <c r="B3024" s="25"/>
      <c r="C3024" s="75"/>
      <c r="D3024" s="75"/>
      <c r="H3024" s="74"/>
      <c r="J3024" s="25"/>
      <c r="K3024" s="25"/>
      <c r="L3024" s="25"/>
    </row>
    <row r="3028" spans="2:12" x14ac:dyDescent="0.2">
      <c r="B3028" s="25"/>
      <c r="C3028" s="25"/>
      <c r="D3028" s="25"/>
      <c r="E3028" s="25"/>
      <c r="F3028" s="25"/>
      <c r="G3028" s="27"/>
      <c r="H3028" s="25"/>
      <c r="I3028" s="25"/>
      <c r="L3028" s="25"/>
    </row>
    <row r="3043" spans="2:9" x14ac:dyDescent="0.2">
      <c r="B3043" s="25"/>
      <c r="C3043" s="75"/>
      <c r="D3043" s="75"/>
      <c r="H3043" s="25"/>
    </row>
    <row r="3048" spans="2:9" x14ac:dyDescent="0.2">
      <c r="B3048" s="25"/>
      <c r="I3048" s="25"/>
    </row>
    <row r="3063" spans="2:12" x14ac:dyDescent="0.2">
      <c r="B3063" s="25"/>
      <c r="C3063" s="75"/>
      <c r="D3063" s="75"/>
      <c r="H3063" s="74"/>
      <c r="J3063" s="25"/>
      <c r="K3063" s="25"/>
      <c r="L3063" s="25"/>
    </row>
  </sheetData>
  <mergeCells count="149">
    <mergeCell ref="G233:I233"/>
    <mergeCell ref="G234:I234"/>
    <mergeCell ref="G235:I235"/>
    <mergeCell ref="G236:I236"/>
    <mergeCell ref="G304:I304"/>
    <mergeCell ref="G305:I305"/>
    <mergeCell ref="G306:I306"/>
    <mergeCell ref="G307:I307"/>
    <mergeCell ref="G308:I308"/>
    <mergeCell ref="G227:I227"/>
    <mergeCell ref="G228:I228"/>
    <mergeCell ref="G229:I229"/>
    <mergeCell ref="G230:I230"/>
    <mergeCell ref="G231:I231"/>
    <mergeCell ref="G232:I232"/>
    <mergeCell ref="G215:I215"/>
    <mergeCell ref="G216:I216"/>
    <mergeCell ref="G217:I217"/>
    <mergeCell ref="G218:I218"/>
    <mergeCell ref="G219:I219"/>
    <mergeCell ref="G220:I220"/>
    <mergeCell ref="G149:I149"/>
    <mergeCell ref="G156:I156"/>
    <mergeCell ref="G157:I157"/>
    <mergeCell ref="G150:I150"/>
    <mergeCell ref="G151:I151"/>
    <mergeCell ref="G152:I152"/>
    <mergeCell ref="G153:I153"/>
    <mergeCell ref="G154:I154"/>
    <mergeCell ref="G155:I155"/>
    <mergeCell ref="B77:L77"/>
    <mergeCell ref="B78:L78"/>
    <mergeCell ref="B79:C79"/>
    <mergeCell ref="D79:F79"/>
    <mergeCell ref="B133:K133"/>
    <mergeCell ref="G64:J64"/>
    <mergeCell ref="B2:L2"/>
    <mergeCell ref="B3:L3"/>
    <mergeCell ref="B4:C4"/>
    <mergeCell ref="D4:F4"/>
    <mergeCell ref="B62:K62"/>
    <mergeCell ref="B63:C63"/>
    <mergeCell ref="D63:F63"/>
    <mergeCell ref="G213:J213"/>
    <mergeCell ref="B162:L162"/>
    <mergeCell ref="B163:L163"/>
    <mergeCell ref="B164:C164"/>
    <mergeCell ref="D164:F164"/>
    <mergeCell ref="B211:K211"/>
    <mergeCell ref="B212:C212"/>
    <mergeCell ref="D212:F212"/>
    <mergeCell ref="B134:C134"/>
    <mergeCell ref="D134:F134"/>
    <mergeCell ref="G135:J135"/>
    <mergeCell ref="G143:H143"/>
    <mergeCell ref="G144:I144"/>
    <mergeCell ref="G145:I145"/>
    <mergeCell ref="G146:I146"/>
    <mergeCell ref="G147:I147"/>
    <mergeCell ref="G148:I148"/>
    <mergeCell ref="B321:L321"/>
    <mergeCell ref="B300:K300"/>
    <mergeCell ref="B301:C301"/>
    <mergeCell ref="D301:F301"/>
    <mergeCell ref="G302:J302"/>
    <mergeCell ref="B246:L246"/>
    <mergeCell ref="B247:L247"/>
    <mergeCell ref="B248:C248"/>
    <mergeCell ref="D248:F248"/>
    <mergeCell ref="G309:I309"/>
    <mergeCell ref="G310:I310"/>
    <mergeCell ref="G311:I311"/>
    <mergeCell ref="G312:G313"/>
    <mergeCell ref="B385:L385"/>
    <mergeCell ref="B386:L386"/>
    <mergeCell ref="B387:C387"/>
    <mergeCell ref="D387:F387"/>
    <mergeCell ref="B441:K441"/>
    <mergeCell ref="G369:J369"/>
    <mergeCell ref="B322:L322"/>
    <mergeCell ref="B323:C323"/>
    <mergeCell ref="D323:F323"/>
    <mergeCell ref="B367:K367"/>
    <mergeCell ref="B368:C368"/>
    <mergeCell ref="D368:F368"/>
    <mergeCell ref="G371:I371"/>
    <mergeCell ref="G372:I372"/>
    <mergeCell ref="G373:I373"/>
    <mergeCell ref="G374:I374"/>
    <mergeCell ref="G375:I375"/>
    <mergeCell ref="G376:I376"/>
    <mergeCell ref="G377:I377"/>
    <mergeCell ref="G378:I378"/>
    <mergeCell ref="B512:K512"/>
    <mergeCell ref="B513:C513"/>
    <mergeCell ref="D513:F513"/>
    <mergeCell ref="G514:J514"/>
    <mergeCell ref="B466:L466"/>
    <mergeCell ref="B467:L467"/>
    <mergeCell ref="B468:C468"/>
    <mergeCell ref="D468:F468"/>
    <mergeCell ref="B442:C442"/>
    <mergeCell ref="D442:F442"/>
    <mergeCell ref="G443:J443"/>
    <mergeCell ref="G444:I444"/>
    <mergeCell ref="B596:L596"/>
    <mergeCell ref="B579:C579"/>
    <mergeCell ref="D579:F579"/>
    <mergeCell ref="G580:J580"/>
    <mergeCell ref="H523:I523"/>
    <mergeCell ref="B528:L528"/>
    <mergeCell ref="B529:L529"/>
    <mergeCell ref="B530:C530"/>
    <mergeCell ref="D530:F530"/>
    <mergeCell ref="B578:K578"/>
    <mergeCell ref="B665:L665"/>
    <mergeCell ref="B666:L666"/>
    <mergeCell ref="G650:J650"/>
    <mergeCell ref="B597:L597"/>
    <mergeCell ref="B598:C598"/>
    <mergeCell ref="D598:F598"/>
    <mergeCell ref="B648:K648"/>
    <mergeCell ref="B649:C649"/>
    <mergeCell ref="D649:F649"/>
    <mergeCell ref="B768:K768"/>
    <mergeCell ref="B769:C769"/>
    <mergeCell ref="D769:F769"/>
    <mergeCell ref="G770:J770"/>
    <mergeCell ref="B730:L730"/>
    <mergeCell ref="B731:L731"/>
    <mergeCell ref="B732:C732"/>
    <mergeCell ref="D732:F732"/>
    <mergeCell ref="B667:C667"/>
    <mergeCell ref="D667:F667"/>
    <mergeCell ref="B708:K708"/>
    <mergeCell ref="B709:C709"/>
    <mergeCell ref="D709:F709"/>
    <mergeCell ref="G710:J710"/>
    <mergeCell ref="D860:I860"/>
    <mergeCell ref="D861:I861"/>
    <mergeCell ref="B834:K834"/>
    <mergeCell ref="B835:C835"/>
    <mergeCell ref="D835:F835"/>
    <mergeCell ref="G836:J836"/>
    <mergeCell ref="H780:I780"/>
    <mergeCell ref="B786:L786"/>
    <mergeCell ref="B787:L787"/>
    <mergeCell ref="B788:C788"/>
    <mergeCell ref="D788:F78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021"/>
  <sheetViews>
    <sheetView topLeftCell="C715" zoomScale="90" zoomScaleNormal="90" workbookViewId="0">
      <selection activeCell="L802" sqref="L802"/>
    </sheetView>
  </sheetViews>
  <sheetFormatPr baseColWidth="10" defaultColWidth="11.42578125" defaultRowHeight="12.75" x14ac:dyDescent="0.2"/>
  <cols>
    <col min="1" max="1" width="12" style="176" customWidth="1"/>
    <col min="2" max="2" width="7.7109375" style="167" customWidth="1"/>
    <col min="3" max="3" width="7" style="177" customWidth="1"/>
    <col min="4" max="4" width="8" style="177" customWidth="1"/>
    <col min="5" max="5" width="4.5703125" style="177" hidden="1" customWidth="1"/>
    <col min="6" max="6" width="17" style="177" customWidth="1"/>
    <col min="7" max="7" width="23.85546875" style="178" customWidth="1"/>
    <col min="8" max="8" width="46.140625" style="178" customWidth="1"/>
    <col min="9" max="9" width="23.42578125" style="178" customWidth="1"/>
    <col min="10" max="10" width="23.42578125" style="179" customWidth="1"/>
    <col min="11" max="12" width="16.140625" style="114" customWidth="1"/>
    <col min="13" max="13" width="14.140625" style="114" customWidth="1"/>
    <col min="14" max="14" width="15.5703125" style="179" customWidth="1"/>
    <col min="15" max="16384" width="11.42578125" style="114"/>
  </cols>
  <sheetData>
    <row r="1" spans="1:14" x14ac:dyDescent="0.2">
      <c r="A1" s="527" t="s">
        <v>95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9"/>
    </row>
    <row r="2" spans="1:14" x14ac:dyDescent="0.2">
      <c r="A2" s="530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2"/>
    </row>
    <row r="3" spans="1:14" ht="15" x14ac:dyDescent="0.25">
      <c r="A3" s="533" t="s">
        <v>0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5"/>
    </row>
    <row r="4" spans="1:14" x14ac:dyDescent="0.2">
      <c r="A4" s="115" t="s">
        <v>1</v>
      </c>
      <c r="B4" s="116" t="s">
        <v>2</v>
      </c>
      <c r="C4" s="117" t="s">
        <v>3</v>
      </c>
      <c r="D4" s="117" t="s">
        <v>4</v>
      </c>
      <c r="E4" s="117" t="s">
        <v>96</v>
      </c>
      <c r="F4" s="117" t="s">
        <v>5</v>
      </c>
      <c r="G4" s="118" t="s">
        <v>97</v>
      </c>
      <c r="H4" s="118" t="s">
        <v>6</v>
      </c>
      <c r="I4" s="118"/>
      <c r="J4" s="117" t="s">
        <v>7</v>
      </c>
      <c r="K4" s="117" t="s">
        <v>8</v>
      </c>
      <c r="L4" s="117" t="s">
        <v>9</v>
      </c>
      <c r="M4" s="119" t="s">
        <v>10</v>
      </c>
      <c r="N4" s="117" t="s">
        <v>11</v>
      </c>
    </row>
    <row r="5" spans="1:14" x14ac:dyDescent="0.2">
      <c r="A5" s="120"/>
      <c r="B5" s="121"/>
      <c r="C5" s="122"/>
      <c r="D5" s="122"/>
      <c r="E5" s="122"/>
      <c r="F5" s="122"/>
      <c r="G5" s="101"/>
      <c r="H5" s="123"/>
      <c r="I5" s="123"/>
      <c r="J5" s="124"/>
      <c r="K5" s="125"/>
      <c r="L5" s="125"/>
      <c r="M5" s="125"/>
      <c r="N5" s="124">
        <f>+'[3]7_CTI-FISI'!$N$516</f>
        <v>89552.61999999985</v>
      </c>
    </row>
    <row r="6" spans="1:14" x14ac:dyDescent="0.2">
      <c r="A6" s="10">
        <v>42738</v>
      </c>
      <c r="B6" s="11" t="s">
        <v>98</v>
      </c>
      <c r="C6" s="122"/>
      <c r="D6" s="122"/>
      <c r="E6" s="122"/>
      <c r="F6" s="122"/>
      <c r="G6" s="126" t="s">
        <v>99</v>
      </c>
      <c r="H6" s="123"/>
      <c r="I6" s="123"/>
      <c r="J6" s="127">
        <v>328</v>
      </c>
      <c r="K6" s="128">
        <f>+J6*0.32</f>
        <v>104.96000000000001</v>
      </c>
      <c r="L6" s="128">
        <f>+J6*0.68</f>
        <v>223.04000000000002</v>
      </c>
      <c r="M6" s="128"/>
      <c r="N6" s="129">
        <f>+L6-M6+N5</f>
        <v>89775.659999999843</v>
      </c>
    </row>
    <row r="7" spans="1:14" x14ac:dyDescent="0.2">
      <c r="A7" s="10">
        <v>42739</v>
      </c>
      <c r="B7" s="11" t="s">
        <v>98</v>
      </c>
      <c r="C7" s="122"/>
      <c r="D7" s="122"/>
      <c r="E7" s="122"/>
      <c r="F7" s="122"/>
      <c r="G7" s="126" t="s">
        <v>99</v>
      </c>
      <c r="H7" s="123"/>
      <c r="I7" s="123"/>
      <c r="J7" s="127">
        <v>1236</v>
      </c>
      <c r="K7" s="128">
        <f t="shared" ref="K7:K51" si="0">+J7*0.32</f>
        <v>395.52</v>
      </c>
      <c r="L7" s="128">
        <f t="shared" ref="L7:L51" si="1">+J7*0.68</f>
        <v>840.48</v>
      </c>
      <c r="M7" s="128"/>
      <c r="N7" s="129">
        <f>+L7-M7+N6</f>
        <v>90616.139999999839</v>
      </c>
    </row>
    <row r="8" spans="1:14" x14ac:dyDescent="0.2">
      <c r="A8" s="10">
        <v>42740</v>
      </c>
      <c r="B8" s="11" t="s">
        <v>98</v>
      </c>
      <c r="C8" s="122"/>
      <c r="D8" s="122"/>
      <c r="E8" s="122"/>
      <c r="F8" s="122"/>
      <c r="G8" s="126" t="s">
        <v>99</v>
      </c>
      <c r="H8" s="123"/>
      <c r="I8" s="123"/>
      <c r="J8" s="130">
        <v>2844</v>
      </c>
      <c r="K8" s="128">
        <f t="shared" si="0"/>
        <v>910.08</v>
      </c>
      <c r="L8" s="128">
        <f t="shared" si="1"/>
        <v>1933.92</v>
      </c>
      <c r="M8" s="128"/>
      <c r="N8" s="129">
        <f>+L8-M8+N7</f>
        <v>92550.059999999838</v>
      </c>
    </row>
    <row r="9" spans="1:14" x14ac:dyDescent="0.2">
      <c r="A9" s="131"/>
      <c r="B9" s="132"/>
      <c r="C9" s="122"/>
      <c r="D9" s="122"/>
      <c r="E9" s="122"/>
      <c r="F9" s="122"/>
      <c r="G9" s="133"/>
      <c r="H9" s="123"/>
      <c r="I9" s="123"/>
      <c r="J9" s="127"/>
      <c r="K9" s="128">
        <f t="shared" si="0"/>
        <v>0</v>
      </c>
      <c r="L9" s="128">
        <f t="shared" si="1"/>
        <v>0</v>
      </c>
      <c r="M9" s="128"/>
      <c r="N9" s="129">
        <f>+L9-M9+N8</f>
        <v>92550.059999999838</v>
      </c>
    </row>
    <row r="10" spans="1:14" ht="15" x14ac:dyDescent="0.25">
      <c r="A10" s="10">
        <v>43108</v>
      </c>
      <c r="B10" s="11" t="s">
        <v>100</v>
      </c>
      <c r="C10" s="134"/>
      <c r="D10" s="135"/>
      <c r="E10" s="122"/>
      <c r="F10" s="122"/>
      <c r="G10" s="126" t="s">
        <v>99</v>
      </c>
      <c r="H10" s="136"/>
      <c r="I10" s="136"/>
      <c r="J10" s="135">
        <v>4522</v>
      </c>
      <c r="K10" s="128">
        <f t="shared" si="0"/>
        <v>1447.04</v>
      </c>
      <c r="L10" s="128">
        <f t="shared" si="1"/>
        <v>3074.96</v>
      </c>
      <c r="M10" s="128"/>
      <c r="N10" s="129">
        <f t="shared" ref="N10:N73" si="2">+L10-M10+N9</f>
        <v>95625.019999999844</v>
      </c>
    </row>
    <row r="11" spans="1:14" ht="15" x14ac:dyDescent="0.25">
      <c r="A11" s="10">
        <v>43109</v>
      </c>
      <c r="B11" s="11" t="s">
        <v>100</v>
      </c>
      <c r="C11" s="134"/>
      <c r="D11" s="135"/>
      <c r="E11" s="122"/>
      <c r="F11" s="122"/>
      <c r="G11" s="126" t="s">
        <v>99</v>
      </c>
      <c r="H11" s="136"/>
      <c r="I11" s="136"/>
      <c r="J11" s="135">
        <v>2830</v>
      </c>
      <c r="K11" s="128">
        <f t="shared" si="0"/>
        <v>905.6</v>
      </c>
      <c r="L11" s="128">
        <f t="shared" si="1"/>
        <v>1924.4</v>
      </c>
      <c r="M11" s="128"/>
      <c r="N11" s="129">
        <f t="shared" si="2"/>
        <v>97549.419999999838</v>
      </c>
    </row>
    <row r="12" spans="1:14" ht="15" x14ac:dyDescent="0.25">
      <c r="A12" s="10">
        <v>43110</v>
      </c>
      <c r="B12" s="11" t="s">
        <v>100</v>
      </c>
      <c r="C12" s="134"/>
      <c r="D12" s="135"/>
      <c r="E12" s="122"/>
      <c r="F12" s="122"/>
      <c r="G12" s="126" t="s">
        <v>99</v>
      </c>
      <c r="H12" s="136"/>
      <c r="I12" s="136"/>
      <c r="J12" s="135">
        <v>984</v>
      </c>
      <c r="K12" s="128">
        <f t="shared" si="0"/>
        <v>314.88</v>
      </c>
      <c r="L12" s="128">
        <f t="shared" si="1"/>
        <v>669.12</v>
      </c>
      <c r="M12" s="128"/>
      <c r="N12" s="129">
        <f t="shared" si="2"/>
        <v>98218.539999999834</v>
      </c>
    </row>
    <row r="13" spans="1:14" ht="15" x14ac:dyDescent="0.25">
      <c r="A13" s="10">
        <v>43111</v>
      </c>
      <c r="B13" s="11" t="s">
        <v>100</v>
      </c>
      <c r="C13" s="134"/>
      <c r="D13" s="135"/>
      <c r="E13" s="122"/>
      <c r="F13" s="122"/>
      <c r="G13" s="126" t="s">
        <v>99</v>
      </c>
      <c r="H13" s="136"/>
      <c r="I13" s="136"/>
      <c r="J13" s="135">
        <v>2114</v>
      </c>
      <c r="K13" s="128">
        <f t="shared" si="0"/>
        <v>676.48</v>
      </c>
      <c r="L13" s="128">
        <f t="shared" si="1"/>
        <v>1437.5200000000002</v>
      </c>
      <c r="M13" s="128"/>
      <c r="N13" s="129">
        <f t="shared" si="2"/>
        <v>99656.059999999838</v>
      </c>
    </row>
    <row r="14" spans="1:14" ht="15" x14ac:dyDescent="0.25">
      <c r="A14" s="10">
        <v>43112</v>
      </c>
      <c r="B14" s="11" t="s">
        <v>100</v>
      </c>
      <c r="C14" s="134"/>
      <c r="D14" s="135"/>
      <c r="E14" s="122"/>
      <c r="F14" s="122"/>
      <c r="G14" s="126" t="s">
        <v>99</v>
      </c>
      <c r="H14" s="136"/>
      <c r="I14" s="136"/>
      <c r="J14" s="135">
        <v>3000</v>
      </c>
      <c r="K14" s="128">
        <f t="shared" si="0"/>
        <v>960</v>
      </c>
      <c r="L14" s="128">
        <f t="shared" si="1"/>
        <v>2040.0000000000002</v>
      </c>
      <c r="M14" s="128"/>
      <c r="N14" s="129">
        <f t="shared" si="2"/>
        <v>101696.05999999984</v>
      </c>
    </row>
    <row r="15" spans="1:14" ht="15" x14ac:dyDescent="0.25">
      <c r="A15" s="10">
        <v>43113</v>
      </c>
      <c r="B15" s="11" t="s">
        <v>100</v>
      </c>
      <c r="C15" s="134"/>
      <c r="D15" s="135"/>
      <c r="E15" s="122"/>
      <c r="F15" s="122"/>
      <c r="G15" s="126" t="s">
        <v>99</v>
      </c>
      <c r="H15" s="136"/>
      <c r="I15" s="136"/>
      <c r="J15" s="135">
        <v>164</v>
      </c>
      <c r="K15" s="128">
        <f t="shared" si="0"/>
        <v>52.480000000000004</v>
      </c>
      <c r="L15" s="128">
        <f t="shared" si="1"/>
        <v>111.52000000000001</v>
      </c>
      <c r="M15" s="128"/>
      <c r="N15" s="129">
        <f t="shared" si="2"/>
        <v>101807.57999999984</v>
      </c>
    </row>
    <row r="16" spans="1:14" ht="15" x14ac:dyDescent="0.25">
      <c r="A16" s="10">
        <v>43115</v>
      </c>
      <c r="B16" s="11" t="s">
        <v>100</v>
      </c>
      <c r="C16" s="134"/>
      <c r="D16" s="135"/>
      <c r="E16" s="122"/>
      <c r="F16" s="122"/>
      <c r="G16" s="126" t="s">
        <v>99</v>
      </c>
      <c r="H16" s="136"/>
      <c r="I16" s="136"/>
      <c r="J16" s="135">
        <v>2044</v>
      </c>
      <c r="K16" s="128">
        <f t="shared" si="0"/>
        <v>654.08000000000004</v>
      </c>
      <c r="L16" s="128">
        <f t="shared" si="1"/>
        <v>1389.92</v>
      </c>
      <c r="M16" s="128"/>
      <c r="N16" s="129">
        <f t="shared" si="2"/>
        <v>103197.49999999984</v>
      </c>
    </row>
    <row r="17" spans="1:14" ht="15" x14ac:dyDescent="0.25">
      <c r="A17" s="10">
        <v>43116</v>
      </c>
      <c r="B17" s="11" t="s">
        <v>100</v>
      </c>
      <c r="C17" s="134"/>
      <c r="D17" s="135"/>
      <c r="E17" s="122"/>
      <c r="F17" s="122"/>
      <c r="G17" s="126" t="s">
        <v>99</v>
      </c>
      <c r="H17" s="136"/>
      <c r="I17" s="136"/>
      <c r="J17" s="135">
        <v>692</v>
      </c>
      <c r="K17" s="128">
        <f t="shared" si="0"/>
        <v>221.44</v>
      </c>
      <c r="L17" s="128">
        <f t="shared" si="1"/>
        <v>470.56000000000006</v>
      </c>
      <c r="M17" s="128"/>
      <c r="N17" s="129">
        <f t="shared" si="2"/>
        <v>103668.05999999984</v>
      </c>
    </row>
    <row r="18" spans="1:14" ht="15" x14ac:dyDescent="0.25">
      <c r="A18" s="10">
        <v>43117</v>
      </c>
      <c r="B18" s="11" t="s">
        <v>100</v>
      </c>
      <c r="C18" s="134"/>
      <c r="D18" s="135"/>
      <c r="E18" s="122"/>
      <c r="F18" s="122"/>
      <c r="G18" s="126" t="s">
        <v>99</v>
      </c>
      <c r="H18" s="136"/>
      <c r="I18" s="136"/>
      <c r="J18" s="135">
        <v>2222</v>
      </c>
      <c r="K18" s="128">
        <f t="shared" si="0"/>
        <v>711.04</v>
      </c>
      <c r="L18" s="128">
        <f t="shared" si="1"/>
        <v>1510.96</v>
      </c>
      <c r="M18" s="128"/>
      <c r="N18" s="129">
        <f t="shared" si="2"/>
        <v>105179.01999999984</v>
      </c>
    </row>
    <row r="19" spans="1:14" ht="15" x14ac:dyDescent="0.25">
      <c r="A19" s="10">
        <v>43118</v>
      </c>
      <c r="B19" s="11" t="s">
        <v>100</v>
      </c>
      <c r="C19" s="134"/>
      <c r="D19" s="135"/>
      <c r="E19" s="122"/>
      <c r="F19" s="122"/>
      <c r="G19" s="126" t="s">
        <v>99</v>
      </c>
      <c r="H19" s="136"/>
      <c r="I19" s="136"/>
      <c r="J19" s="135">
        <v>616</v>
      </c>
      <c r="K19" s="128">
        <f t="shared" si="0"/>
        <v>197.12</v>
      </c>
      <c r="L19" s="128">
        <f t="shared" si="1"/>
        <v>418.88000000000005</v>
      </c>
      <c r="M19" s="128"/>
      <c r="N19" s="129">
        <f t="shared" si="2"/>
        <v>105597.89999999985</v>
      </c>
    </row>
    <row r="20" spans="1:14" x14ac:dyDescent="0.2">
      <c r="A20" s="131"/>
      <c r="B20" s="132"/>
      <c r="C20" s="122"/>
      <c r="D20" s="122"/>
      <c r="E20" s="122"/>
      <c r="F20" s="122"/>
      <c r="G20" s="133"/>
      <c r="H20" s="123"/>
      <c r="I20" s="123"/>
      <c r="J20" s="127"/>
      <c r="K20" s="128">
        <f t="shared" si="0"/>
        <v>0</v>
      </c>
      <c r="L20" s="128">
        <f t="shared" si="1"/>
        <v>0</v>
      </c>
      <c r="M20" s="128"/>
      <c r="N20" s="129">
        <f t="shared" si="2"/>
        <v>105597.89999999985</v>
      </c>
    </row>
    <row r="21" spans="1:14" x14ac:dyDescent="0.2">
      <c r="A21" s="10">
        <v>43119</v>
      </c>
      <c r="B21" s="11">
        <v>360</v>
      </c>
      <c r="C21" s="122"/>
      <c r="D21" s="122"/>
      <c r="E21" s="122"/>
      <c r="F21" s="122"/>
      <c r="G21" s="126" t="s">
        <v>101</v>
      </c>
      <c r="H21" s="123"/>
      <c r="I21" s="123"/>
      <c r="J21" s="135">
        <v>800</v>
      </c>
      <c r="K21" s="128">
        <f t="shared" si="0"/>
        <v>256</v>
      </c>
      <c r="L21" s="128">
        <f t="shared" si="1"/>
        <v>544</v>
      </c>
      <c r="M21" s="128"/>
      <c r="N21" s="129">
        <f t="shared" si="2"/>
        <v>106141.89999999985</v>
      </c>
    </row>
    <row r="22" spans="1:14" x14ac:dyDescent="0.2">
      <c r="A22" s="10">
        <v>43120</v>
      </c>
      <c r="B22" s="11">
        <v>360</v>
      </c>
      <c r="C22" s="122"/>
      <c r="D22" s="122"/>
      <c r="E22" s="122"/>
      <c r="F22" s="122"/>
      <c r="G22" s="126" t="s">
        <v>101</v>
      </c>
      <c r="H22" s="123"/>
      <c r="I22" s="123"/>
      <c r="J22" s="135">
        <v>164</v>
      </c>
      <c r="K22" s="128">
        <f t="shared" si="0"/>
        <v>52.480000000000004</v>
      </c>
      <c r="L22" s="128">
        <f t="shared" si="1"/>
        <v>111.52000000000001</v>
      </c>
      <c r="M22" s="128"/>
      <c r="N22" s="129">
        <f t="shared" si="2"/>
        <v>106253.41999999985</v>
      </c>
    </row>
    <row r="23" spans="1:14" x14ac:dyDescent="0.2">
      <c r="A23" s="10">
        <v>43122</v>
      </c>
      <c r="B23" s="11">
        <v>360</v>
      </c>
      <c r="C23" s="122"/>
      <c r="D23" s="122"/>
      <c r="E23" s="122"/>
      <c r="F23" s="122"/>
      <c r="G23" s="126" t="s">
        <v>101</v>
      </c>
      <c r="H23" s="123"/>
      <c r="I23" s="123"/>
      <c r="J23" s="135">
        <v>472</v>
      </c>
      <c r="K23" s="128">
        <f t="shared" si="0"/>
        <v>151.04</v>
      </c>
      <c r="L23" s="128">
        <f t="shared" si="1"/>
        <v>320.96000000000004</v>
      </c>
      <c r="M23" s="128"/>
      <c r="N23" s="129">
        <f t="shared" si="2"/>
        <v>106574.37999999986</v>
      </c>
    </row>
    <row r="24" spans="1:14" x14ac:dyDescent="0.2">
      <c r="A24" s="10">
        <v>43123</v>
      </c>
      <c r="B24" s="11">
        <v>360</v>
      </c>
      <c r="C24" s="122"/>
      <c r="D24" s="122"/>
      <c r="E24" s="122"/>
      <c r="F24" s="122"/>
      <c r="G24" s="126" t="s">
        <v>101</v>
      </c>
      <c r="H24" s="123"/>
      <c r="I24" s="123"/>
      <c r="J24" s="135">
        <v>492</v>
      </c>
      <c r="K24" s="128">
        <f t="shared" si="0"/>
        <v>157.44</v>
      </c>
      <c r="L24" s="128">
        <f t="shared" si="1"/>
        <v>334.56</v>
      </c>
      <c r="M24" s="128"/>
      <c r="N24" s="129">
        <f t="shared" si="2"/>
        <v>106908.93999999986</v>
      </c>
    </row>
    <row r="25" spans="1:14" x14ac:dyDescent="0.2">
      <c r="A25" s="10">
        <v>43125</v>
      </c>
      <c r="B25" s="11">
        <v>360</v>
      </c>
      <c r="C25" s="122"/>
      <c r="D25" s="122"/>
      <c r="E25" s="122"/>
      <c r="F25" s="122"/>
      <c r="G25" s="126" t="s">
        <v>101</v>
      </c>
      <c r="H25" s="123"/>
      <c r="I25" s="123"/>
      <c r="J25" s="135">
        <v>492</v>
      </c>
      <c r="K25" s="128">
        <f t="shared" si="0"/>
        <v>157.44</v>
      </c>
      <c r="L25" s="128">
        <f t="shared" si="1"/>
        <v>334.56</v>
      </c>
      <c r="M25" s="128"/>
      <c r="N25" s="129">
        <f t="shared" si="2"/>
        <v>107243.49999999985</v>
      </c>
    </row>
    <row r="26" spans="1:14" x14ac:dyDescent="0.2">
      <c r="A26" s="10">
        <v>43126</v>
      </c>
      <c r="B26" s="11">
        <v>360</v>
      </c>
      <c r="C26" s="122"/>
      <c r="D26" s="122"/>
      <c r="E26" s="122"/>
      <c r="F26" s="122"/>
      <c r="G26" s="126" t="s">
        <v>101</v>
      </c>
      <c r="H26" s="123"/>
      <c r="I26" s="123"/>
      <c r="J26" s="135">
        <v>866</v>
      </c>
      <c r="K26" s="128">
        <f t="shared" si="0"/>
        <v>277.12</v>
      </c>
      <c r="L26" s="128">
        <f t="shared" si="1"/>
        <v>588.88</v>
      </c>
      <c r="M26" s="128"/>
      <c r="N26" s="129">
        <f t="shared" si="2"/>
        <v>107832.37999999986</v>
      </c>
    </row>
    <row r="27" spans="1:14" x14ac:dyDescent="0.2">
      <c r="A27" s="10">
        <v>43129</v>
      </c>
      <c r="B27" s="11">
        <v>360</v>
      </c>
      <c r="C27" s="122"/>
      <c r="D27" s="122"/>
      <c r="E27" s="122"/>
      <c r="F27" s="122"/>
      <c r="G27" s="126" t="s">
        <v>101</v>
      </c>
      <c r="H27" s="123"/>
      <c r="I27" s="123"/>
      <c r="J27" s="135">
        <v>164</v>
      </c>
      <c r="K27" s="128">
        <f t="shared" si="0"/>
        <v>52.480000000000004</v>
      </c>
      <c r="L27" s="128">
        <f t="shared" si="1"/>
        <v>111.52000000000001</v>
      </c>
      <c r="M27" s="128"/>
      <c r="N27" s="129">
        <f t="shared" si="2"/>
        <v>107943.89999999986</v>
      </c>
    </row>
    <row r="28" spans="1:14" x14ac:dyDescent="0.2">
      <c r="A28" s="10">
        <v>43131</v>
      </c>
      <c r="B28" s="11">
        <v>360</v>
      </c>
      <c r="C28" s="122"/>
      <c r="D28" s="122"/>
      <c r="E28" s="122"/>
      <c r="F28" s="122"/>
      <c r="G28" s="126" t="s">
        <v>101</v>
      </c>
      <c r="H28" s="123"/>
      <c r="I28" s="123"/>
      <c r="J28" s="135">
        <v>40</v>
      </c>
      <c r="K28" s="128">
        <f t="shared" si="0"/>
        <v>12.8</v>
      </c>
      <c r="L28" s="128">
        <f t="shared" si="1"/>
        <v>27.200000000000003</v>
      </c>
      <c r="M28" s="128"/>
      <c r="N28" s="129">
        <f t="shared" si="2"/>
        <v>107971.09999999986</v>
      </c>
    </row>
    <row r="29" spans="1:14" ht="14.25" x14ac:dyDescent="0.2">
      <c r="A29" s="10">
        <v>43470</v>
      </c>
      <c r="B29" s="137"/>
      <c r="C29" s="122"/>
      <c r="D29" s="122"/>
      <c r="E29" s="122"/>
      <c r="F29" s="122"/>
      <c r="G29" s="126"/>
      <c r="H29" s="123"/>
      <c r="I29" s="123"/>
      <c r="J29" s="135">
        <v>1980</v>
      </c>
      <c r="K29" s="128">
        <f t="shared" si="0"/>
        <v>633.6</v>
      </c>
      <c r="L29" s="128">
        <f t="shared" si="1"/>
        <v>1346.4</v>
      </c>
      <c r="M29" s="128"/>
      <c r="N29" s="129">
        <f t="shared" si="2"/>
        <v>109317.49999999985</v>
      </c>
    </row>
    <row r="30" spans="1:14" x14ac:dyDescent="0.2">
      <c r="A30" s="10">
        <v>43471</v>
      </c>
      <c r="B30" s="11"/>
      <c r="C30" s="122"/>
      <c r="D30" s="122"/>
      <c r="E30" s="122"/>
      <c r="F30" s="122"/>
      <c r="G30" s="126"/>
      <c r="H30" s="123"/>
      <c r="I30" s="123"/>
      <c r="J30" s="135">
        <v>1212</v>
      </c>
      <c r="K30" s="128">
        <f t="shared" si="0"/>
        <v>387.84000000000003</v>
      </c>
      <c r="L30" s="128">
        <f t="shared" si="1"/>
        <v>824.16000000000008</v>
      </c>
      <c r="M30" s="128"/>
      <c r="N30" s="129">
        <f t="shared" si="2"/>
        <v>110141.65999999986</v>
      </c>
    </row>
    <row r="31" spans="1:14" x14ac:dyDescent="0.2">
      <c r="A31" s="10">
        <v>43468</v>
      </c>
      <c r="B31" s="11"/>
      <c r="C31" s="122"/>
      <c r="D31" s="122"/>
      <c r="E31" s="122"/>
      <c r="F31" s="122"/>
      <c r="G31" s="126"/>
      <c r="H31" s="123"/>
      <c r="I31" s="123"/>
      <c r="J31" s="135">
        <v>1364</v>
      </c>
      <c r="K31" s="128">
        <f t="shared" si="0"/>
        <v>436.48</v>
      </c>
      <c r="L31" s="128">
        <f t="shared" si="1"/>
        <v>927.5200000000001</v>
      </c>
      <c r="M31" s="128"/>
      <c r="N31" s="129"/>
    </row>
    <row r="32" spans="1:14" x14ac:dyDescent="0.2">
      <c r="A32" s="10">
        <v>43469</v>
      </c>
      <c r="B32" s="11"/>
      <c r="C32" s="122"/>
      <c r="D32" s="122"/>
      <c r="E32" s="122"/>
      <c r="F32" s="122"/>
      <c r="G32" s="126"/>
      <c r="H32" s="123"/>
      <c r="I32" s="123"/>
      <c r="J32" s="135">
        <v>1280</v>
      </c>
      <c r="K32" s="128">
        <f t="shared" si="0"/>
        <v>409.6</v>
      </c>
      <c r="L32" s="128">
        <f t="shared" si="1"/>
        <v>870.40000000000009</v>
      </c>
      <c r="M32" s="128"/>
      <c r="N32" s="129"/>
    </row>
    <row r="33" spans="1:14" x14ac:dyDescent="0.2">
      <c r="A33" s="131">
        <v>43108</v>
      </c>
      <c r="B33" s="132"/>
      <c r="C33" s="122"/>
      <c r="D33" s="122"/>
      <c r="E33" s="122"/>
      <c r="F33" s="122"/>
      <c r="G33" s="126"/>
      <c r="H33" s="123"/>
      <c r="I33" s="123"/>
      <c r="J33" s="127">
        <v>3440</v>
      </c>
      <c r="K33" s="128">
        <f t="shared" si="0"/>
        <v>1100.8</v>
      </c>
      <c r="L33" s="128">
        <f t="shared" si="1"/>
        <v>2339.2000000000003</v>
      </c>
      <c r="M33" s="128"/>
      <c r="N33" s="129">
        <f>+L33-M33+N30</f>
        <v>112480.85999999986</v>
      </c>
    </row>
    <row r="34" spans="1:14" x14ac:dyDescent="0.2">
      <c r="A34" s="131">
        <v>43109</v>
      </c>
      <c r="B34" s="132"/>
      <c r="C34" s="122"/>
      <c r="D34" s="122"/>
      <c r="E34" s="122"/>
      <c r="F34" s="122"/>
      <c r="G34" s="126"/>
      <c r="H34" s="123"/>
      <c r="I34" s="123"/>
      <c r="J34" s="127">
        <v>1292</v>
      </c>
      <c r="K34" s="128">
        <f t="shared" si="0"/>
        <v>413.44</v>
      </c>
      <c r="L34" s="128">
        <f t="shared" si="1"/>
        <v>878.56000000000006</v>
      </c>
      <c r="M34" s="128"/>
      <c r="N34" s="129">
        <f t="shared" si="2"/>
        <v>113359.41999999985</v>
      </c>
    </row>
    <row r="35" spans="1:14" x14ac:dyDescent="0.2">
      <c r="A35" s="131">
        <v>43110</v>
      </c>
      <c r="B35" s="132"/>
      <c r="C35" s="122"/>
      <c r="D35" s="122"/>
      <c r="E35" s="122"/>
      <c r="F35" s="122"/>
      <c r="G35" s="126"/>
      <c r="H35" s="123"/>
      <c r="I35" s="123"/>
      <c r="J35" s="127">
        <v>616</v>
      </c>
      <c r="K35" s="128">
        <f t="shared" si="0"/>
        <v>197.12</v>
      </c>
      <c r="L35" s="128">
        <f t="shared" si="1"/>
        <v>418.88000000000005</v>
      </c>
      <c r="M35" s="128"/>
      <c r="N35" s="129">
        <f t="shared" si="2"/>
        <v>113778.29999999986</v>
      </c>
    </row>
    <row r="36" spans="1:14" x14ac:dyDescent="0.2">
      <c r="A36" s="131">
        <v>43111</v>
      </c>
      <c r="B36" s="132"/>
      <c r="C36" s="122"/>
      <c r="D36" s="122"/>
      <c r="E36" s="122"/>
      <c r="F36" s="122"/>
      <c r="G36" s="126"/>
      <c r="H36" s="123"/>
      <c r="I36" s="123"/>
      <c r="J36" s="127">
        <v>760</v>
      </c>
      <c r="K36" s="128">
        <f t="shared" si="0"/>
        <v>243.20000000000002</v>
      </c>
      <c r="L36" s="128">
        <f t="shared" si="1"/>
        <v>516.80000000000007</v>
      </c>
      <c r="M36" s="128"/>
      <c r="N36" s="129">
        <f t="shared" si="2"/>
        <v>114295.09999999986</v>
      </c>
    </row>
    <row r="37" spans="1:14" x14ac:dyDescent="0.2">
      <c r="A37" s="131">
        <v>43112</v>
      </c>
      <c r="B37" s="132"/>
      <c r="C37" s="122"/>
      <c r="D37" s="122"/>
      <c r="E37" s="122"/>
      <c r="F37" s="122"/>
      <c r="G37" s="126"/>
      <c r="H37" s="123"/>
      <c r="I37" s="123"/>
      <c r="J37" s="127">
        <v>1953</v>
      </c>
      <c r="K37" s="128">
        <f t="shared" si="0"/>
        <v>624.96</v>
      </c>
      <c r="L37" s="128">
        <f t="shared" si="1"/>
        <v>1328.0400000000002</v>
      </c>
      <c r="M37" s="128"/>
      <c r="N37" s="129">
        <f t="shared" si="2"/>
        <v>115623.13999999985</v>
      </c>
    </row>
    <row r="38" spans="1:14" x14ac:dyDescent="0.2">
      <c r="A38" s="131"/>
      <c r="B38" s="132"/>
      <c r="C38" s="122"/>
      <c r="D38" s="122"/>
      <c r="E38" s="122"/>
      <c r="F38" s="122"/>
      <c r="G38" s="126"/>
      <c r="H38" s="123"/>
      <c r="I38" s="123"/>
      <c r="J38" s="127"/>
      <c r="K38" s="128">
        <f t="shared" si="0"/>
        <v>0</v>
      </c>
      <c r="L38" s="128">
        <f t="shared" si="1"/>
        <v>0</v>
      </c>
      <c r="M38" s="128"/>
      <c r="N38" s="129">
        <f t="shared" si="2"/>
        <v>115623.13999999985</v>
      </c>
    </row>
    <row r="39" spans="1:14" x14ac:dyDescent="0.2">
      <c r="A39" s="131">
        <v>43115</v>
      </c>
      <c r="B39" s="132"/>
      <c r="C39" s="122"/>
      <c r="D39" s="122"/>
      <c r="E39" s="122"/>
      <c r="F39" s="122"/>
      <c r="G39" s="126"/>
      <c r="H39" s="123"/>
      <c r="I39" s="123"/>
      <c r="J39" s="127">
        <v>144</v>
      </c>
      <c r="K39" s="128">
        <f t="shared" si="0"/>
        <v>46.08</v>
      </c>
      <c r="L39" s="128">
        <f t="shared" si="1"/>
        <v>97.92</v>
      </c>
      <c r="M39" s="128"/>
      <c r="N39" s="129">
        <f t="shared" si="2"/>
        <v>115721.05999999985</v>
      </c>
    </row>
    <row r="40" spans="1:14" x14ac:dyDescent="0.2">
      <c r="A40" s="131">
        <v>43116</v>
      </c>
      <c r="B40" s="132"/>
      <c r="C40" s="122"/>
      <c r="D40" s="122"/>
      <c r="E40" s="122"/>
      <c r="F40" s="122"/>
      <c r="G40" s="126"/>
      <c r="H40" s="123"/>
      <c r="I40" s="123"/>
      <c r="J40" s="127">
        <v>924</v>
      </c>
      <c r="K40" s="128">
        <f t="shared" si="0"/>
        <v>295.68</v>
      </c>
      <c r="L40" s="128">
        <f t="shared" si="1"/>
        <v>628.32000000000005</v>
      </c>
      <c r="M40" s="128"/>
      <c r="N40" s="129">
        <f t="shared" si="2"/>
        <v>116349.37999999986</v>
      </c>
    </row>
    <row r="41" spans="1:14" x14ac:dyDescent="0.2">
      <c r="A41" s="131">
        <v>43117</v>
      </c>
      <c r="B41" s="132"/>
      <c r="C41" s="122"/>
      <c r="D41" s="122"/>
      <c r="E41" s="122"/>
      <c r="F41" s="122"/>
      <c r="G41" s="126"/>
      <c r="H41" s="123"/>
      <c r="I41" s="123"/>
      <c r="J41" s="127">
        <v>1104</v>
      </c>
      <c r="K41" s="128">
        <f t="shared" si="0"/>
        <v>353.28000000000003</v>
      </c>
      <c r="L41" s="128">
        <f t="shared" si="1"/>
        <v>750.72</v>
      </c>
      <c r="M41" s="128"/>
      <c r="N41" s="129">
        <f t="shared" si="2"/>
        <v>117100.09999999986</v>
      </c>
    </row>
    <row r="42" spans="1:14" x14ac:dyDescent="0.2">
      <c r="A42" s="131">
        <v>43118</v>
      </c>
      <c r="B42" s="132"/>
      <c r="C42" s="122"/>
      <c r="D42" s="122"/>
      <c r="E42" s="122"/>
      <c r="F42" s="122"/>
      <c r="G42" s="126"/>
      <c r="H42" s="123"/>
      <c r="I42" s="123"/>
      <c r="J42" s="127">
        <v>1720</v>
      </c>
      <c r="K42" s="128">
        <f t="shared" si="0"/>
        <v>550.4</v>
      </c>
      <c r="L42" s="128">
        <f t="shared" si="1"/>
        <v>1169.6000000000001</v>
      </c>
      <c r="M42" s="128"/>
      <c r="N42" s="129">
        <f t="shared" si="2"/>
        <v>118269.69999999987</v>
      </c>
    </row>
    <row r="43" spans="1:14" x14ac:dyDescent="0.2">
      <c r="A43" s="131">
        <v>43484</v>
      </c>
      <c r="B43" s="132"/>
      <c r="C43" s="122"/>
      <c r="D43" s="122"/>
      <c r="E43" s="122"/>
      <c r="F43" s="122"/>
      <c r="G43" s="138"/>
      <c r="H43" s="123"/>
      <c r="I43" s="123"/>
      <c r="J43" s="127">
        <v>542</v>
      </c>
      <c r="K43" s="128">
        <f t="shared" si="0"/>
        <v>173.44</v>
      </c>
      <c r="L43" s="128">
        <f t="shared" si="1"/>
        <v>368.56</v>
      </c>
      <c r="M43" s="128"/>
      <c r="N43" s="129">
        <f t="shared" si="2"/>
        <v>118638.25999999986</v>
      </c>
    </row>
    <row r="44" spans="1:14" x14ac:dyDescent="0.2">
      <c r="A44" s="131">
        <v>43122</v>
      </c>
      <c r="B44" s="132"/>
      <c r="C44" s="122"/>
      <c r="D44" s="122"/>
      <c r="E44" s="122"/>
      <c r="F44" s="122"/>
      <c r="G44" s="126"/>
      <c r="H44" s="123"/>
      <c r="I44" s="123"/>
      <c r="J44" s="127">
        <v>636</v>
      </c>
      <c r="K44" s="128">
        <f t="shared" si="0"/>
        <v>203.52</v>
      </c>
      <c r="L44" s="128">
        <f t="shared" si="1"/>
        <v>432.48</v>
      </c>
      <c r="M44" s="128"/>
      <c r="N44" s="129">
        <f t="shared" si="2"/>
        <v>119070.73999999986</v>
      </c>
    </row>
    <row r="45" spans="1:14" x14ac:dyDescent="0.2">
      <c r="A45" s="131">
        <v>43123</v>
      </c>
      <c r="B45" s="132"/>
      <c r="C45" s="122"/>
      <c r="D45" s="122"/>
      <c r="E45" s="122"/>
      <c r="F45" s="122"/>
      <c r="G45" s="126"/>
      <c r="H45" s="123"/>
      <c r="I45" s="123"/>
      <c r="J45" s="127">
        <v>314</v>
      </c>
      <c r="K45" s="128">
        <f t="shared" si="0"/>
        <v>100.48</v>
      </c>
      <c r="L45" s="128">
        <f t="shared" si="1"/>
        <v>213.52</v>
      </c>
      <c r="M45" s="128"/>
      <c r="N45" s="129">
        <f t="shared" si="2"/>
        <v>119284.25999999986</v>
      </c>
    </row>
    <row r="46" spans="1:14" x14ac:dyDescent="0.2">
      <c r="A46" s="131">
        <v>43124</v>
      </c>
      <c r="B46" s="132"/>
      <c r="C46" s="122"/>
      <c r="D46" s="122"/>
      <c r="E46" s="122"/>
      <c r="F46" s="122"/>
      <c r="G46" s="126"/>
      <c r="H46" s="123"/>
      <c r="I46" s="123"/>
      <c r="J46" s="127">
        <v>492</v>
      </c>
      <c r="K46" s="128">
        <f t="shared" si="0"/>
        <v>157.44</v>
      </c>
      <c r="L46" s="128">
        <f t="shared" si="1"/>
        <v>334.56</v>
      </c>
      <c r="M46" s="128"/>
      <c r="N46" s="129">
        <f t="shared" si="2"/>
        <v>119618.81999999986</v>
      </c>
    </row>
    <row r="47" spans="1:14" x14ac:dyDescent="0.2">
      <c r="A47" s="131">
        <v>43125</v>
      </c>
      <c r="B47" s="132"/>
      <c r="C47" s="122"/>
      <c r="D47" s="122"/>
      <c r="E47" s="122"/>
      <c r="F47" s="122"/>
      <c r="G47" s="126"/>
      <c r="H47" s="123"/>
      <c r="I47" s="123"/>
      <c r="J47" s="127">
        <v>492</v>
      </c>
      <c r="K47" s="128">
        <f t="shared" si="0"/>
        <v>157.44</v>
      </c>
      <c r="L47" s="128">
        <f t="shared" si="1"/>
        <v>334.56</v>
      </c>
      <c r="M47" s="128"/>
      <c r="N47" s="129">
        <f t="shared" si="2"/>
        <v>119953.37999999986</v>
      </c>
    </row>
    <row r="48" spans="1:14" x14ac:dyDescent="0.2">
      <c r="A48" s="131">
        <v>43126</v>
      </c>
      <c r="B48" s="132"/>
      <c r="C48" s="122"/>
      <c r="D48" s="122"/>
      <c r="E48" s="122"/>
      <c r="F48" s="122"/>
      <c r="G48" s="126"/>
      <c r="H48" s="123"/>
      <c r="I48" s="123"/>
      <c r="J48" s="127">
        <v>150</v>
      </c>
      <c r="K48" s="128">
        <f t="shared" si="0"/>
        <v>48</v>
      </c>
      <c r="L48" s="128">
        <f t="shared" si="1"/>
        <v>102.00000000000001</v>
      </c>
      <c r="M48" s="128"/>
      <c r="N48" s="129">
        <f t="shared" si="2"/>
        <v>120055.37999999986</v>
      </c>
    </row>
    <row r="49" spans="1:14" x14ac:dyDescent="0.2">
      <c r="A49" s="131">
        <v>43129</v>
      </c>
      <c r="B49" s="132"/>
      <c r="C49" s="122"/>
      <c r="D49" s="122"/>
      <c r="E49" s="122"/>
      <c r="F49" s="122"/>
      <c r="G49" s="126"/>
      <c r="H49" s="123"/>
      <c r="I49" s="123"/>
      <c r="J49" s="127">
        <v>264</v>
      </c>
      <c r="K49" s="128">
        <f t="shared" si="0"/>
        <v>84.48</v>
      </c>
      <c r="L49" s="128">
        <f t="shared" si="1"/>
        <v>179.52</v>
      </c>
      <c r="M49" s="128"/>
      <c r="N49" s="129">
        <f t="shared" si="2"/>
        <v>120234.89999999986</v>
      </c>
    </row>
    <row r="50" spans="1:14" x14ac:dyDescent="0.2">
      <c r="A50" s="131">
        <v>43130</v>
      </c>
      <c r="B50" s="132"/>
      <c r="C50" s="122"/>
      <c r="D50" s="122"/>
      <c r="E50" s="122"/>
      <c r="F50" s="122"/>
      <c r="G50" s="126"/>
      <c r="H50" s="123"/>
      <c r="I50" s="123"/>
      <c r="J50" s="127">
        <v>1446</v>
      </c>
      <c r="K50" s="128">
        <f t="shared" si="0"/>
        <v>462.72</v>
      </c>
      <c r="L50" s="128">
        <f t="shared" si="1"/>
        <v>983.28000000000009</v>
      </c>
      <c r="M50" s="128"/>
      <c r="N50" s="129">
        <f t="shared" si="2"/>
        <v>121218.17999999986</v>
      </c>
    </row>
    <row r="51" spans="1:14" x14ac:dyDescent="0.2">
      <c r="A51" s="131">
        <v>43131</v>
      </c>
      <c r="B51" s="132"/>
      <c r="C51" s="122"/>
      <c r="D51" s="122"/>
      <c r="E51" s="122"/>
      <c r="F51" s="122"/>
      <c r="G51" s="126"/>
      <c r="H51" s="123"/>
      <c r="I51" s="123"/>
      <c r="J51" s="127">
        <v>984</v>
      </c>
      <c r="K51" s="128">
        <f t="shared" si="0"/>
        <v>314.88</v>
      </c>
      <c r="L51" s="128">
        <f t="shared" si="1"/>
        <v>669.12</v>
      </c>
      <c r="M51" s="128"/>
      <c r="N51" s="129">
        <f t="shared" si="2"/>
        <v>121887.29999999986</v>
      </c>
    </row>
    <row r="52" spans="1:14" x14ac:dyDescent="0.2">
      <c r="A52" s="131"/>
      <c r="B52" s="132"/>
      <c r="C52" s="122"/>
      <c r="D52" s="122"/>
      <c r="E52" s="122"/>
      <c r="F52" s="122"/>
      <c r="G52" s="126"/>
      <c r="H52" s="123"/>
      <c r="I52" s="123"/>
      <c r="J52" s="127"/>
      <c r="K52" s="128"/>
      <c r="L52" s="128"/>
      <c r="M52" s="128"/>
      <c r="N52" s="129">
        <f t="shared" si="2"/>
        <v>121887.29999999986</v>
      </c>
    </row>
    <row r="53" spans="1:14" x14ac:dyDescent="0.2">
      <c r="A53" s="131"/>
      <c r="B53" s="132"/>
      <c r="C53" s="122"/>
      <c r="D53" s="122"/>
      <c r="E53" s="122"/>
      <c r="F53" s="122"/>
      <c r="G53" s="126"/>
      <c r="H53" s="123"/>
      <c r="I53" s="123"/>
      <c r="J53" s="127"/>
      <c r="K53" s="128"/>
      <c r="L53" s="128"/>
      <c r="M53" s="128"/>
      <c r="N53" s="129">
        <f t="shared" si="2"/>
        <v>121887.29999999986</v>
      </c>
    </row>
    <row r="54" spans="1:14" x14ac:dyDescent="0.2">
      <c r="A54" s="131"/>
      <c r="B54" s="132"/>
      <c r="C54" s="122"/>
      <c r="D54" s="122"/>
      <c r="E54" s="122"/>
      <c r="F54" s="122"/>
      <c r="G54" s="126"/>
      <c r="H54" s="123"/>
      <c r="I54" s="123"/>
      <c r="J54" s="127"/>
      <c r="K54" s="128"/>
      <c r="L54" s="128"/>
      <c r="M54" s="128"/>
      <c r="N54" s="129">
        <f t="shared" si="2"/>
        <v>121887.29999999986</v>
      </c>
    </row>
    <row r="55" spans="1:14" x14ac:dyDescent="0.2">
      <c r="A55" s="131"/>
      <c r="B55" s="132"/>
      <c r="C55" s="122"/>
      <c r="D55" s="122"/>
      <c r="E55" s="122"/>
      <c r="F55" s="122"/>
      <c r="G55" s="126"/>
      <c r="H55" s="123"/>
      <c r="I55" s="123"/>
      <c r="J55" s="127"/>
      <c r="K55" s="128"/>
      <c r="L55" s="128"/>
      <c r="M55" s="128"/>
      <c r="N55" s="129">
        <f t="shared" si="2"/>
        <v>121887.29999999986</v>
      </c>
    </row>
    <row r="56" spans="1:14" x14ac:dyDescent="0.2">
      <c r="A56" s="131"/>
      <c r="B56" s="132"/>
      <c r="C56" s="122"/>
      <c r="D56" s="122"/>
      <c r="E56" s="122"/>
      <c r="F56" s="122"/>
      <c r="G56" s="126"/>
      <c r="H56" s="123"/>
      <c r="I56" s="123"/>
      <c r="J56" s="127"/>
      <c r="K56" s="128"/>
      <c r="L56" s="128"/>
      <c r="M56" s="128"/>
      <c r="N56" s="129">
        <f t="shared" si="2"/>
        <v>121887.29999999986</v>
      </c>
    </row>
    <row r="57" spans="1:14" x14ac:dyDescent="0.2">
      <c r="A57" s="131"/>
      <c r="B57" s="132"/>
      <c r="C57" s="122"/>
      <c r="D57" s="122"/>
      <c r="E57" s="122"/>
      <c r="F57" s="122"/>
      <c r="G57" s="126"/>
      <c r="H57" s="123"/>
      <c r="I57" s="123"/>
      <c r="J57" s="127"/>
      <c r="K57" s="128"/>
      <c r="L57" s="128"/>
      <c r="M57" s="128"/>
      <c r="N57" s="129">
        <f t="shared" si="2"/>
        <v>121887.29999999986</v>
      </c>
    </row>
    <row r="58" spans="1:14" x14ac:dyDescent="0.2">
      <c r="A58" s="131"/>
      <c r="B58" s="132"/>
      <c r="C58" s="122"/>
      <c r="D58" s="122"/>
      <c r="E58" s="122"/>
      <c r="F58" s="122"/>
      <c r="G58" s="126"/>
      <c r="H58" s="123"/>
      <c r="I58" s="123"/>
      <c r="J58" s="127"/>
      <c r="K58" s="128"/>
      <c r="L58" s="128"/>
      <c r="M58" s="128"/>
      <c r="N58" s="129">
        <f t="shared" si="2"/>
        <v>121887.29999999986</v>
      </c>
    </row>
    <row r="59" spans="1:14" x14ac:dyDescent="0.2">
      <c r="A59" s="131"/>
      <c r="B59" s="132"/>
      <c r="C59" s="122"/>
      <c r="D59" s="122"/>
      <c r="E59" s="122"/>
      <c r="F59" s="122"/>
      <c r="G59" s="133"/>
      <c r="H59" s="123"/>
      <c r="I59" s="123"/>
      <c r="J59" s="127"/>
      <c r="K59" s="128"/>
      <c r="L59" s="128"/>
      <c r="M59" s="128"/>
      <c r="N59" s="129">
        <f t="shared" si="2"/>
        <v>121887.29999999986</v>
      </c>
    </row>
    <row r="60" spans="1:14" x14ac:dyDescent="0.2">
      <c r="A60" s="139"/>
      <c r="B60" s="140"/>
      <c r="C60" s="141"/>
      <c r="D60" s="141"/>
      <c r="E60" s="141"/>
      <c r="F60" s="141"/>
      <c r="G60" s="142"/>
      <c r="H60" s="143"/>
      <c r="I60" s="143"/>
      <c r="J60" s="144"/>
      <c r="K60" s="145"/>
      <c r="L60" s="145"/>
      <c r="M60" s="145"/>
      <c r="N60" s="129">
        <f t="shared" si="2"/>
        <v>121887.29999999986</v>
      </c>
    </row>
    <row r="61" spans="1:14" ht="15" x14ac:dyDescent="0.25">
      <c r="A61" s="533" t="s">
        <v>12</v>
      </c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129">
        <f t="shared" si="2"/>
        <v>121887.29999999986</v>
      </c>
    </row>
    <row r="62" spans="1:14" x14ac:dyDescent="0.2">
      <c r="A62" s="131"/>
      <c r="B62" s="132"/>
      <c r="C62" s="122"/>
      <c r="D62" s="122"/>
      <c r="E62" s="122"/>
      <c r="F62" s="122"/>
      <c r="G62" s="133"/>
      <c r="H62" s="123"/>
      <c r="I62" s="123"/>
      <c r="J62" s="127"/>
      <c r="K62" s="128"/>
      <c r="L62" s="128"/>
      <c r="M62" s="128"/>
      <c r="N62" s="129">
        <f t="shared" si="2"/>
        <v>121887.29999999986</v>
      </c>
    </row>
    <row r="63" spans="1:14" s="312" customFormat="1" x14ac:dyDescent="0.2">
      <c r="A63" s="302">
        <v>36899</v>
      </c>
      <c r="B63" s="303"/>
      <c r="C63" s="304"/>
      <c r="D63" s="305"/>
      <c r="E63" s="304"/>
      <c r="F63" s="305" t="s">
        <v>102</v>
      </c>
      <c r="G63" s="306" t="s">
        <v>103</v>
      </c>
      <c r="H63" s="307" t="s">
        <v>520</v>
      </c>
      <c r="I63" s="308">
        <v>1764.88</v>
      </c>
      <c r="J63" s="309"/>
      <c r="K63" s="310"/>
      <c r="L63" s="310"/>
      <c r="M63" s="308">
        <v>0</v>
      </c>
      <c r="N63" s="311">
        <f t="shared" si="2"/>
        <v>121887.29999999986</v>
      </c>
    </row>
    <row r="64" spans="1:14" s="312" customFormat="1" x14ac:dyDescent="0.2">
      <c r="A64" s="302">
        <v>36900</v>
      </c>
      <c r="B64" s="303"/>
      <c r="C64" s="304"/>
      <c r="D64" s="305"/>
      <c r="E64" s="304"/>
      <c r="F64" s="305" t="s">
        <v>105</v>
      </c>
      <c r="G64" s="306" t="s">
        <v>103</v>
      </c>
      <c r="H64" s="307" t="s">
        <v>521</v>
      </c>
      <c r="I64" s="308">
        <v>2307.92</v>
      </c>
      <c r="J64" s="309"/>
      <c r="K64" s="310"/>
      <c r="L64" s="310"/>
      <c r="M64" s="308">
        <v>0</v>
      </c>
      <c r="N64" s="311">
        <f t="shared" si="2"/>
        <v>121887.29999999986</v>
      </c>
    </row>
    <row r="65" spans="1:14" s="312" customFormat="1" x14ac:dyDescent="0.2">
      <c r="A65" s="302">
        <v>36901</v>
      </c>
      <c r="B65" s="303"/>
      <c r="C65" s="304"/>
      <c r="D65" s="305"/>
      <c r="E65" s="304"/>
      <c r="F65" s="305" t="s">
        <v>107</v>
      </c>
      <c r="G65" s="306" t="s">
        <v>103</v>
      </c>
      <c r="H65" s="307" t="s">
        <v>522</v>
      </c>
      <c r="I65" s="308">
        <v>678.8</v>
      </c>
      <c r="J65" s="309"/>
      <c r="K65" s="310"/>
      <c r="L65" s="310"/>
      <c r="M65" s="308">
        <v>0</v>
      </c>
      <c r="N65" s="311">
        <f t="shared" si="2"/>
        <v>121887.29999999986</v>
      </c>
    </row>
    <row r="66" spans="1:14" s="313" customFormat="1" x14ac:dyDescent="0.2">
      <c r="A66" s="302">
        <v>36902</v>
      </c>
      <c r="B66" s="303"/>
      <c r="C66" s="304"/>
      <c r="D66" s="305"/>
      <c r="E66" s="304"/>
      <c r="F66" s="305" t="s">
        <v>109</v>
      </c>
      <c r="G66" s="306" t="s">
        <v>103</v>
      </c>
      <c r="H66" s="307" t="s">
        <v>523</v>
      </c>
      <c r="I66" s="308">
        <v>678.8</v>
      </c>
      <c r="J66" s="309"/>
      <c r="K66" s="310"/>
      <c r="L66" s="310"/>
      <c r="M66" s="308">
        <v>0</v>
      </c>
      <c r="N66" s="311">
        <f t="shared" si="2"/>
        <v>121887.29999999986</v>
      </c>
    </row>
    <row r="67" spans="1:14" x14ac:dyDescent="0.2">
      <c r="A67" s="10">
        <v>43126</v>
      </c>
      <c r="B67" s="151" t="s">
        <v>111</v>
      </c>
      <c r="C67" s="152"/>
      <c r="D67" s="153">
        <v>254</v>
      </c>
      <c r="E67" s="122"/>
      <c r="F67" s="122" t="s">
        <v>112</v>
      </c>
      <c r="G67" s="154" t="s">
        <v>113</v>
      </c>
      <c r="H67" s="123"/>
      <c r="I67" s="123"/>
      <c r="J67" s="127"/>
      <c r="K67" s="128"/>
      <c r="L67" s="128"/>
      <c r="M67" s="149">
        <v>850</v>
      </c>
      <c r="N67" s="129">
        <f t="shared" si="2"/>
        <v>121037.29999999986</v>
      </c>
    </row>
    <row r="68" spans="1:14" x14ac:dyDescent="0.2">
      <c r="A68" s="10"/>
      <c r="B68" s="151" t="s">
        <v>114</v>
      </c>
      <c r="C68" s="152"/>
      <c r="D68" s="153">
        <v>253</v>
      </c>
      <c r="E68" s="122"/>
      <c r="F68" s="122"/>
      <c r="G68" s="154" t="s">
        <v>115</v>
      </c>
      <c r="H68" s="155"/>
      <c r="I68" s="155"/>
      <c r="J68" s="127"/>
      <c r="K68" s="128"/>
      <c r="L68" s="128"/>
      <c r="M68" s="149">
        <v>950</v>
      </c>
      <c r="N68" s="129">
        <f t="shared" si="2"/>
        <v>120087.29999999986</v>
      </c>
    </row>
    <row r="69" spans="1:14" x14ac:dyDescent="0.2">
      <c r="A69" s="10"/>
      <c r="B69" s="151" t="s">
        <v>116</v>
      </c>
      <c r="C69" s="152"/>
      <c r="D69" s="153">
        <v>252</v>
      </c>
      <c r="E69" s="122"/>
      <c r="F69" s="122"/>
      <c r="G69" s="154" t="s">
        <v>117</v>
      </c>
      <c r="H69" s="155"/>
      <c r="I69" s="155"/>
      <c r="J69" s="127"/>
      <c r="K69" s="128"/>
      <c r="L69" s="128"/>
      <c r="M69" s="149">
        <v>1700</v>
      </c>
      <c r="N69" s="129">
        <f t="shared" si="2"/>
        <v>118387.29999999986</v>
      </c>
    </row>
    <row r="70" spans="1:14" x14ac:dyDescent="0.2">
      <c r="A70" s="131"/>
      <c r="B70" s="151" t="s">
        <v>118</v>
      </c>
      <c r="C70" s="152"/>
      <c r="D70" s="153">
        <v>319</v>
      </c>
      <c r="E70" s="122"/>
      <c r="F70" s="122" t="s">
        <v>119</v>
      </c>
      <c r="G70" s="133" t="s">
        <v>120</v>
      </c>
      <c r="H70" s="154" t="s">
        <v>121</v>
      </c>
      <c r="I70" s="154"/>
      <c r="J70" s="127"/>
      <c r="K70" s="128"/>
      <c r="L70" s="128"/>
      <c r="M70" s="128">
        <v>800</v>
      </c>
      <c r="N70" s="129">
        <f t="shared" si="2"/>
        <v>117587.29999999986</v>
      </c>
    </row>
    <row r="71" spans="1:14" x14ac:dyDescent="0.2">
      <c r="A71" s="131"/>
      <c r="B71" s="151" t="s">
        <v>122</v>
      </c>
      <c r="C71" s="152"/>
      <c r="D71" s="153">
        <v>321</v>
      </c>
      <c r="E71" s="122"/>
      <c r="F71" s="122" t="s">
        <v>123</v>
      </c>
      <c r="G71" s="133" t="s">
        <v>120</v>
      </c>
      <c r="H71" s="154" t="s">
        <v>124</v>
      </c>
      <c r="I71" s="154"/>
      <c r="J71" s="127"/>
      <c r="K71" s="128"/>
      <c r="L71" s="128"/>
      <c r="M71" s="128">
        <v>1500</v>
      </c>
      <c r="N71" s="129">
        <f t="shared" si="2"/>
        <v>116087.29999999986</v>
      </c>
    </row>
    <row r="72" spans="1:14" x14ac:dyDescent="0.2">
      <c r="A72" s="131"/>
      <c r="B72" s="151" t="s">
        <v>125</v>
      </c>
      <c r="C72" s="152"/>
      <c r="D72" s="153">
        <v>322</v>
      </c>
      <c r="E72" s="122"/>
      <c r="F72" s="122" t="s">
        <v>126</v>
      </c>
      <c r="G72" s="133" t="s">
        <v>127</v>
      </c>
      <c r="H72" s="123" t="s">
        <v>128</v>
      </c>
      <c r="I72" s="123"/>
      <c r="J72" s="127"/>
      <c r="K72" s="128"/>
      <c r="L72" s="128"/>
      <c r="M72" s="128">
        <v>2080</v>
      </c>
      <c r="N72" s="129">
        <f t="shared" si="2"/>
        <v>114007.29999999986</v>
      </c>
    </row>
    <row r="73" spans="1:14" x14ac:dyDescent="0.2">
      <c r="A73" s="131"/>
      <c r="B73" s="151" t="s">
        <v>129</v>
      </c>
      <c r="C73" s="152"/>
      <c r="D73" s="153">
        <v>323</v>
      </c>
      <c r="E73" s="122"/>
      <c r="F73" s="122" t="s">
        <v>130</v>
      </c>
      <c r="G73" s="133" t="s">
        <v>127</v>
      </c>
      <c r="H73" s="123" t="s">
        <v>131</v>
      </c>
      <c r="I73" s="123"/>
      <c r="J73" s="127"/>
      <c r="K73" s="128"/>
      <c r="L73" s="128"/>
      <c r="M73" s="128">
        <v>2080</v>
      </c>
      <c r="N73" s="129">
        <f t="shared" si="2"/>
        <v>111927.29999999986</v>
      </c>
    </row>
    <row r="74" spans="1:14" x14ac:dyDescent="0.2">
      <c r="A74" s="131"/>
      <c r="B74" s="151" t="s">
        <v>132</v>
      </c>
      <c r="C74" s="152"/>
      <c r="D74" s="156" t="s">
        <v>133</v>
      </c>
      <c r="E74" s="122"/>
      <c r="F74" s="122" t="s">
        <v>134</v>
      </c>
      <c r="G74" s="133" t="s">
        <v>127</v>
      </c>
      <c r="H74" s="123" t="s">
        <v>135</v>
      </c>
      <c r="I74" s="123"/>
      <c r="J74" s="127"/>
      <c r="K74" s="128"/>
      <c r="L74" s="128"/>
      <c r="M74" s="128">
        <v>1040</v>
      </c>
      <c r="N74" s="129">
        <f t="shared" ref="N74:N83" si="3">+L74-M74+N73</f>
        <v>110887.29999999986</v>
      </c>
    </row>
    <row r="75" spans="1:14" x14ac:dyDescent="0.2">
      <c r="A75" s="131"/>
      <c r="B75" s="151" t="s">
        <v>136</v>
      </c>
      <c r="C75" s="152"/>
      <c r="D75" s="153">
        <v>325</v>
      </c>
      <c r="E75" s="122"/>
      <c r="F75" s="122" t="s">
        <v>137</v>
      </c>
      <c r="G75" s="133" t="s">
        <v>127</v>
      </c>
      <c r="H75" s="123" t="s">
        <v>138</v>
      </c>
      <c r="I75" s="123"/>
      <c r="J75" s="127"/>
      <c r="K75" s="128"/>
      <c r="L75" s="128"/>
      <c r="M75" s="128">
        <v>1040</v>
      </c>
      <c r="N75" s="129">
        <f t="shared" si="3"/>
        <v>109847.29999999986</v>
      </c>
    </row>
    <row r="76" spans="1:14" x14ac:dyDescent="0.2">
      <c r="A76" s="131"/>
      <c r="B76" s="151" t="s">
        <v>139</v>
      </c>
      <c r="C76" s="152"/>
      <c r="D76" s="153">
        <v>326</v>
      </c>
      <c r="E76" s="122"/>
      <c r="F76" s="122" t="s">
        <v>140</v>
      </c>
      <c r="G76" s="133" t="s">
        <v>127</v>
      </c>
      <c r="H76" s="123" t="s">
        <v>141</v>
      </c>
      <c r="I76" s="123"/>
      <c r="J76" s="127"/>
      <c r="K76" s="128"/>
      <c r="L76" s="128"/>
      <c r="M76" s="128">
        <v>1040</v>
      </c>
      <c r="N76" s="129">
        <f t="shared" si="3"/>
        <v>108807.29999999986</v>
      </c>
    </row>
    <row r="77" spans="1:14" x14ac:dyDescent="0.2">
      <c r="A77" s="131"/>
      <c r="B77" s="151" t="s">
        <v>142</v>
      </c>
      <c r="C77" s="152"/>
      <c r="D77" s="153">
        <v>327</v>
      </c>
      <c r="E77" s="122"/>
      <c r="F77" s="122" t="s">
        <v>143</v>
      </c>
      <c r="G77" s="133" t="s">
        <v>127</v>
      </c>
      <c r="H77" s="123" t="s">
        <v>144</v>
      </c>
      <c r="I77" s="123"/>
      <c r="J77" s="127"/>
      <c r="K77" s="128"/>
      <c r="L77" s="128"/>
      <c r="M77" s="128">
        <v>1040</v>
      </c>
      <c r="N77" s="129">
        <f t="shared" si="3"/>
        <v>107767.29999999986</v>
      </c>
    </row>
    <row r="78" spans="1:14" x14ac:dyDescent="0.2">
      <c r="A78" s="131"/>
      <c r="B78" s="151" t="s">
        <v>145</v>
      </c>
      <c r="C78" s="152"/>
      <c r="D78" s="153">
        <v>328</v>
      </c>
      <c r="E78" s="122"/>
      <c r="F78" s="122" t="s">
        <v>146</v>
      </c>
      <c r="G78" s="133" t="s">
        <v>127</v>
      </c>
      <c r="H78" s="123" t="s">
        <v>147</v>
      </c>
      <c r="I78" s="123"/>
      <c r="J78" s="127"/>
      <c r="K78" s="128"/>
      <c r="L78" s="128"/>
      <c r="M78" s="128">
        <v>1040</v>
      </c>
      <c r="N78" s="129">
        <f t="shared" si="3"/>
        <v>106727.29999999986</v>
      </c>
    </row>
    <row r="79" spans="1:14" x14ac:dyDescent="0.2">
      <c r="A79" s="131"/>
      <c r="B79" s="132"/>
      <c r="C79" s="122"/>
      <c r="D79" s="146"/>
      <c r="E79" s="122"/>
      <c r="F79" s="122" t="s">
        <v>148</v>
      </c>
      <c r="G79" s="133" t="s">
        <v>127</v>
      </c>
      <c r="H79" s="123" t="s">
        <v>149</v>
      </c>
      <c r="I79" s="123"/>
      <c r="J79" s="127"/>
      <c r="K79" s="128"/>
      <c r="L79" s="128"/>
      <c r="M79" s="128">
        <v>1040</v>
      </c>
      <c r="N79" s="129">
        <f t="shared" si="3"/>
        <v>105687.29999999986</v>
      </c>
    </row>
    <row r="80" spans="1:14" x14ac:dyDescent="0.2">
      <c r="A80" s="131"/>
      <c r="B80" s="132"/>
      <c r="C80" s="122"/>
      <c r="D80" s="146"/>
      <c r="E80" s="122"/>
      <c r="F80" s="122"/>
      <c r="G80" s="536" t="s">
        <v>150</v>
      </c>
      <c r="H80" s="537"/>
      <c r="I80" s="295"/>
      <c r="J80" s="127"/>
      <c r="K80" s="128"/>
      <c r="L80" s="128"/>
      <c r="M80" s="128"/>
      <c r="N80" s="129">
        <f t="shared" si="3"/>
        <v>105687.29999999986</v>
      </c>
    </row>
    <row r="81" spans="1:14" x14ac:dyDescent="0.2">
      <c r="A81" s="131"/>
      <c r="B81" s="132"/>
      <c r="C81" s="122"/>
      <c r="D81" s="122"/>
      <c r="E81" s="122"/>
      <c r="F81" s="122"/>
      <c r="G81" s="133" t="s">
        <v>151</v>
      </c>
      <c r="H81" s="123"/>
      <c r="I81" s="123"/>
      <c r="J81" s="127"/>
      <c r="K81" s="128"/>
      <c r="L81" s="128"/>
      <c r="M81" s="128">
        <v>308</v>
      </c>
      <c r="N81" s="129">
        <f t="shared" si="3"/>
        <v>105379.29999999986</v>
      </c>
    </row>
    <row r="82" spans="1:14" x14ac:dyDescent="0.2">
      <c r="A82" s="131"/>
      <c r="B82" s="132"/>
      <c r="C82" s="122"/>
      <c r="D82" s="122"/>
      <c r="E82" s="122"/>
      <c r="F82" s="122"/>
      <c r="G82" s="133" t="s">
        <v>152</v>
      </c>
      <c r="H82" s="123"/>
      <c r="I82" s="123"/>
      <c r="J82" s="127"/>
      <c r="K82" s="128"/>
      <c r="L82" s="128"/>
      <c r="M82" s="128">
        <v>164</v>
      </c>
      <c r="N82" s="129">
        <f t="shared" si="3"/>
        <v>105215.29999999986</v>
      </c>
    </row>
    <row r="83" spans="1:14" x14ac:dyDescent="0.2">
      <c r="A83" s="131"/>
      <c r="B83" s="132"/>
      <c r="C83" s="122"/>
      <c r="D83" s="122"/>
      <c r="E83" s="122"/>
      <c r="F83" s="122"/>
      <c r="G83" s="133"/>
      <c r="H83" s="123"/>
      <c r="I83" s="123"/>
      <c r="J83" s="127"/>
      <c r="K83" s="128"/>
      <c r="L83" s="128"/>
      <c r="M83" s="128"/>
      <c r="N83" s="129">
        <f t="shared" si="3"/>
        <v>105215.29999999986</v>
      </c>
    </row>
    <row r="84" spans="1:14" x14ac:dyDescent="0.2">
      <c r="A84" s="131"/>
      <c r="B84" s="132"/>
      <c r="C84" s="122"/>
      <c r="D84" s="122"/>
      <c r="E84" s="122"/>
      <c r="F84" s="122"/>
      <c r="G84" s="133"/>
      <c r="H84" s="123"/>
      <c r="I84" s="123"/>
      <c r="J84" s="127"/>
      <c r="K84" s="128"/>
      <c r="L84" s="128"/>
      <c r="M84" s="128"/>
      <c r="N84" s="129"/>
    </row>
    <row r="85" spans="1:14" ht="13.5" thickBot="1" x14ac:dyDescent="0.25">
      <c r="A85" s="131"/>
      <c r="B85" s="132"/>
      <c r="C85" s="122"/>
      <c r="D85" s="122"/>
      <c r="E85" s="122"/>
      <c r="F85" s="122"/>
      <c r="G85" s="133"/>
      <c r="H85" s="123"/>
      <c r="I85" s="123"/>
      <c r="J85" s="127"/>
      <c r="K85" s="128"/>
      <c r="L85" s="128"/>
      <c r="M85" s="128"/>
      <c r="N85" s="129"/>
    </row>
    <row r="86" spans="1:14" ht="13.5" thickBot="1" x14ac:dyDescent="0.25">
      <c r="A86" s="115"/>
      <c r="B86" s="116"/>
      <c r="C86" s="117"/>
      <c r="D86" s="117"/>
      <c r="E86" s="157"/>
      <c r="F86" s="158"/>
      <c r="G86" s="159"/>
      <c r="H86" s="160" t="s">
        <v>153</v>
      </c>
      <c r="I86" s="244"/>
      <c r="J86" s="161">
        <f>SUM(J6:J56)</f>
        <v>50195</v>
      </c>
      <c r="K86" s="162">
        <f>SUM(K5:K85)</f>
        <v>16062.399999999998</v>
      </c>
      <c r="L86" s="163">
        <f>SUM(L6:L85)</f>
        <v>34132.600000000013</v>
      </c>
      <c r="M86" s="164">
        <f>SUM(M62:M85)</f>
        <v>16672</v>
      </c>
      <c r="N86" s="165"/>
    </row>
    <row r="87" spans="1:14" ht="13.5" thickBot="1" x14ac:dyDescent="0.25">
      <c r="A87" s="166"/>
      <c r="C87" s="168"/>
      <c r="D87" s="168"/>
      <c r="E87" s="169"/>
      <c r="F87" s="170"/>
      <c r="G87" s="171"/>
      <c r="H87" s="160" t="s">
        <v>13</v>
      </c>
      <c r="I87" s="314"/>
      <c r="J87" s="172"/>
      <c r="K87" s="173"/>
      <c r="L87" s="174"/>
      <c r="M87" s="174"/>
      <c r="N87" s="175">
        <f>+L86-M86+N5</f>
        <v>107013.21999999986</v>
      </c>
    </row>
    <row r="89" spans="1:14" x14ac:dyDescent="0.2">
      <c r="A89" s="527" t="s">
        <v>95</v>
      </c>
      <c r="B89" s="528"/>
      <c r="C89" s="528"/>
      <c r="D89" s="528"/>
      <c r="E89" s="528"/>
      <c r="F89" s="528"/>
      <c r="G89" s="528"/>
      <c r="H89" s="528"/>
      <c r="I89" s="528"/>
      <c r="J89" s="528"/>
      <c r="K89" s="528"/>
      <c r="L89" s="528"/>
      <c r="M89" s="528"/>
      <c r="N89" s="529"/>
    </row>
    <row r="90" spans="1:14" x14ac:dyDescent="0.2">
      <c r="A90" s="530"/>
      <c r="B90" s="531"/>
      <c r="C90" s="531"/>
      <c r="D90" s="531"/>
      <c r="E90" s="531"/>
      <c r="F90" s="531"/>
      <c r="G90" s="531"/>
      <c r="H90" s="531"/>
      <c r="I90" s="531"/>
      <c r="J90" s="531"/>
      <c r="K90" s="531"/>
      <c r="L90" s="531"/>
      <c r="M90" s="531"/>
      <c r="N90" s="532"/>
    </row>
    <row r="91" spans="1:14" ht="15" x14ac:dyDescent="0.25">
      <c r="A91" s="533" t="s">
        <v>14</v>
      </c>
      <c r="B91" s="534"/>
      <c r="C91" s="534"/>
      <c r="D91" s="534"/>
      <c r="E91" s="534"/>
      <c r="F91" s="534"/>
      <c r="G91" s="534"/>
      <c r="H91" s="534"/>
      <c r="I91" s="534"/>
      <c r="J91" s="534"/>
      <c r="K91" s="534"/>
      <c r="L91" s="534"/>
      <c r="M91" s="534"/>
      <c r="N91" s="534"/>
    </row>
    <row r="92" spans="1:14" s="180" customFormat="1" x14ac:dyDescent="0.2">
      <c r="A92" s="115" t="s">
        <v>1</v>
      </c>
      <c r="B92" s="116" t="s">
        <v>2</v>
      </c>
      <c r="C92" s="117" t="s">
        <v>3</v>
      </c>
      <c r="D92" s="117" t="s">
        <v>4</v>
      </c>
      <c r="E92" s="117" t="s">
        <v>96</v>
      </c>
      <c r="F92" s="117" t="s">
        <v>5</v>
      </c>
      <c r="G92" s="118" t="s">
        <v>97</v>
      </c>
      <c r="H92" s="118" t="s">
        <v>6</v>
      </c>
      <c r="I92" s="118"/>
      <c r="J92" s="117" t="s">
        <v>7</v>
      </c>
      <c r="K92" s="117" t="s">
        <v>8</v>
      </c>
      <c r="L92" s="117" t="s">
        <v>9</v>
      </c>
      <c r="M92" s="119" t="s">
        <v>10</v>
      </c>
      <c r="N92" s="117" t="s">
        <v>11</v>
      </c>
    </row>
    <row r="93" spans="1:14" x14ac:dyDescent="0.2">
      <c r="A93" s="120"/>
      <c r="B93" s="121"/>
      <c r="C93" s="122"/>
      <c r="D93" s="122"/>
      <c r="E93" s="122"/>
      <c r="F93" s="122"/>
      <c r="G93" s="101"/>
      <c r="H93" s="123"/>
      <c r="I93" s="123"/>
      <c r="J93" s="124"/>
      <c r="K93" s="125"/>
      <c r="L93" s="125"/>
      <c r="M93" s="125"/>
      <c r="N93" s="124">
        <f>+N87</f>
        <v>107013.21999999986</v>
      </c>
    </row>
    <row r="94" spans="1:14" ht="14.25" x14ac:dyDescent="0.2">
      <c r="A94" s="10">
        <v>43132</v>
      </c>
      <c r="B94" s="111">
        <v>584</v>
      </c>
      <c r="C94" s="122"/>
      <c r="D94" s="122"/>
      <c r="E94" s="122"/>
      <c r="F94" s="122"/>
      <c r="G94" s="126" t="s">
        <v>154</v>
      </c>
      <c r="H94" s="123"/>
      <c r="I94" s="315"/>
      <c r="J94" s="181">
        <v>20</v>
      </c>
      <c r="K94" s="182">
        <f>+J94*0.32</f>
        <v>6.4</v>
      </c>
      <c r="L94" s="182">
        <f>+J94*0.68</f>
        <v>13.600000000000001</v>
      </c>
      <c r="M94" s="128"/>
      <c r="N94" s="129">
        <f>+L94-M94+N93</f>
        <v>107026.81999999986</v>
      </c>
    </row>
    <row r="95" spans="1:14" ht="14.25" x14ac:dyDescent="0.2">
      <c r="A95" s="10">
        <v>43133</v>
      </c>
      <c r="B95" s="111">
        <v>584</v>
      </c>
      <c r="C95" s="122"/>
      <c r="D95" s="122"/>
      <c r="E95" s="122"/>
      <c r="F95" s="122"/>
      <c r="G95" s="126" t="s">
        <v>154</v>
      </c>
      <c r="H95" s="123"/>
      <c r="I95" s="315"/>
      <c r="J95" s="181">
        <v>190</v>
      </c>
      <c r="K95" s="182">
        <f t="shared" ref="K95:K137" si="4">+J95*0.32</f>
        <v>60.800000000000004</v>
      </c>
      <c r="L95" s="182">
        <f t="shared" ref="L95:L137" si="5">+J95*0.68</f>
        <v>129.20000000000002</v>
      </c>
      <c r="M95" s="128"/>
      <c r="N95" s="129">
        <f>+L95-M95+N94</f>
        <v>107156.01999999986</v>
      </c>
    </row>
    <row r="96" spans="1:14" ht="14.25" x14ac:dyDescent="0.2">
      <c r="A96" s="10">
        <v>43136</v>
      </c>
      <c r="B96" s="111">
        <v>584</v>
      </c>
      <c r="C96" s="122"/>
      <c r="D96" s="122"/>
      <c r="E96" s="183"/>
      <c r="F96" s="183"/>
      <c r="G96" s="126" t="s">
        <v>154</v>
      </c>
      <c r="H96" s="123"/>
      <c r="I96" s="315"/>
      <c r="J96" s="181">
        <v>358</v>
      </c>
      <c r="K96" s="182">
        <f t="shared" si="4"/>
        <v>114.56</v>
      </c>
      <c r="L96" s="182">
        <f t="shared" si="5"/>
        <v>243.44000000000003</v>
      </c>
      <c r="M96" s="128"/>
      <c r="N96" s="129">
        <f>+L96-M96+N95</f>
        <v>107399.45999999986</v>
      </c>
    </row>
    <row r="97" spans="1:14" ht="14.25" x14ac:dyDescent="0.2">
      <c r="A97" s="10">
        <v>43137</v>
      </c>
      <c r="B97" s="111">
        <v>584</v>
      </c>
      <c r="C97" s="122"/>
      <c r="D97" s="122"/>
      <c r="E97" s="122"/>
      <c r="F97" s="122"/>
      <c r="G97" s="126" t="s">
        <v>154</v>
      </c>
      <c r="H97" s="123"/>
      <c r="I97" s="315"/>
      <c r="J97" s="181">
        <v>270</v>
      </c>
      <c r="K97" s="182">
        <f t="shared" si="4"/>
        <v>86.4</v>
      </c>
      <c r="L97" s="182">
        <f t="shared" si="5"/>
        <v>183.60000000000002</v>
      </c>
      <c r="M97" s="128"/>
      <c r="N97" s="129">
        <f t="shared" ref="N97:N157" si="6">+L97-M97+N96</f>
        <v>107583.05999999987</v>
      </c>
    </row>
    <row r="98" spans="1:14" ht="14.25" x14ac:dyDescent="0.2">
      <c r="A98" s="10">
        <v>43138</v>
      </c>
      <c r="B98" s="111">
        <v>584</v>
      </c>
      <c r="C98" s="122"/>
      <c r="D98" s="122"/>
      <c r="E98" s="122"/>
      <c r="F98" s="122"/>
      <c r="G98" s="126" t="s">
        <v>154</v>
      </c>
      <c r="H98" s="123"/>
      <c r="I98" s="315"/>
      <c r="J98" s="181">
        <v>390</v>
      </c>
      <c r="K98" s="182">
        <f t="shared" si="4"/>
        <v>124.8</v>
      </c>
      <c r="L98" s="182">
        <f t="shared" si="5"/>
        <v>265.20000000000005</v>
      </c>
      <c r="M98" s="128"/>
      <c r="N98" s="129">
        <f t="shared" si="6"/>
        <v>107848.25999999986</v>
      </c>
    </row>
    <row r="99" spans="1:14" ht="14.25" x14ac:dyDescent="0.2">
      <c r="A99" s="10">
        <v>43139</v>
      </c>
      <c r="B99" s="111">
        <v>584</v>
      </c>
      <c r="C99" s="122"/>
      <c r="D99" s="122"/>
      <c r="E99" s="122"/>
      <c r="F99" s="122"/>
      <c r="G99" s="126" t="s">
        <v>154</v>
      </c>
      <c r="H99" s="123"/>
      <c r="I99" s="315"/>
      <c r="J99" s="181">
        <v>344</v>
      </c>
      <c r="K99" s="182">
        <f t="shared" si="4"/>
        <v>110.08</v>
      </c>
      <c r="L99" s="182">
        <f t="shared" si="5"/>
        <v>233.92000000000002</v>
      </c>
      <c r="M99" s="128"/>
      <c r="N99" s="129">
        <f t="shared" si="6"/>
        <v>108082.17999999986</v>
      </c>
    </row>
    <row r="100" spans="1:14" ht="14.25" x14ac:dyDescent="0.2">
      <c r="A100" s="10">
        <v>43140</v>
      </c>
      <c r="B100" s="111">
        <v>584</v>
      </c>
      <c r="C100" s="122"/>
      <c r="D100" s="122"/>
      <c r="E100" s="122"/>
      <c r="F100" s="122"/>
      <c r="G100" s="126" t="s">
        <v>154</v>
      </c>
      <c r="H100" s="123"/>
      <c r="I100" s="315"/>
      <c r="J100" s="181">
        <v>290</v>
      </c>
      <c r="K100" s="182">
        <f t="shared" si="4"/>
        <v>92.8</v>
      </c>
      <c r="L100" s="182">
        <f t="shared" si="5"/>
        <v>197.20000000000002</v>
      </c>
      <c r="M100" s="128"/>
      <c r="N100" s="129">
        <f t="shared" si="6"/>
        <v>108279.37999999986</v>
      </c>
    </row>
    <row r="101" spans="1:14" ht="14.25" x14ac:dyDescent="0.2">
      <c r="A101" s="10">
        <v>43141</v>
      </c>
      <c r="B101" s="111">
        <v>584</v>
      </c>
      <c r="C101" s="122"/>
      <c r="D101" s="122"/>
      <c r="E101" s="122"/>
      <c r="F101" s="122"/>
      <c r="G101" s="126" t="s">
        <v>154</v>
      </c>
      <c r="H101" s="123"/>
      <c r="I101" s="315"/>
      <c r="J101" s="181">
        <v>436</v>
      </c>
      <c r="K101" s="182">
        <f t="shared" si="4"/>
        <v>139.52000000000001</v>
      </c>
      <c r="L101" s="182">
        <f t="shared" si="5"/>
        <v>296.48</v>
      </c>
      <c r="M101" s="128"/>
      <c r="N101" s="129">
        <f t="shared" si="6"/>
        <v>108575.85999999986</v>
      </c>
    </row>
    <row r="102" spans="1:14" ht="14.25" x14ac:dyDescent="0.2">
      <c r="A102" s="10">
        <v>43145</v>
      </c>
      <c r="B102" s="111">
        <v>584</v>
      </c>
      <c r="C102" s="122"/>
      <c r="D102" s="122"/>
      <c r="E102" s="122"/>
      <c r="F102" s="122"/>
      <c r="G102" s="126" t="s">
        <v>154</v>
      </c>
      <c r="H102" s="123"/>
      <c r="I102" s="315"/>
      <c r="J102" s="181">
        <v>642</v>
      </c>
      <c r="K102" s="182">
        <f t="shared" si="4"/>
        <v>205.44</v>
      </c>
      <c r="L102" s="182">
        <f t="shared" si="5"/>
        <v>436.56000000000006</v>
      </c>
      <c r="M102" s="128"/>
      <c r="N102" s="129">
        <f t="shared" si="6"/>
        <v>109012.41999999985</v>
      </c>
    </row>
    <row r="103" spans="1:14" ht="14.25" x14ac:dyDescent="0.2">
      <c r="A103" s="10">
        <v>43146</v>
      </c>
      <c r="B103" s="111">
        <v>584</v>
      </c>
      <c r="C103" s="122"/>
      <c r="D103" s="122"/>
      <c r="E103" s="122"/>
      <c r="F103" s="122"/>
      <c r="G103" s="126" t="s">
        <v>154</v>
      </c>
      <c r="H103" s="123"/>
      <c r="I103" s="315"/>
      <c r="J103" s="181">
        <v>1366</v>
      </c>
      <c r="K103" s="182">
        <f t="shared" si="4"/>
        <v>437.12</v>
      </c>
      <c r="L103" s="182">
        <f t="shared" si="5"/>
        <v>928.88000000000011</v>
      </c>
      <c r="M103" s="128"/>
      <c r="N103" s="129">
        <f t="shared" si="6"/>
        <v>109941.29999999986</v>
      </c>
    </row>
    <row r="104" spans="1:14" ht="15" x14ac:dyDescent="0.25">
      <c r="A104" s="10">
        <v>43150</v>
      </c>
      <c r="B104" s="111">
        <v>754</v>
      </c>
      <c r="C104" s="134"/>
      <c r="D104" s="135"/>
      <c r="E104" s="122"/>
      <c r="F104" s="122"/>
      <c r="G104" s="126" t="s">
        <v>155</v>
      </c>
      <c r="H104" s="136"/>
      <c r="I104" s="136"/>
      <c r="J104" s="135">
        <v>760</v>
      </c>
      <c r="K104" s="128">
        <f t="shared" si="4"/>
        <v>243.20000000000002</v>
      </c>
      <c r="L104" s="128">
        <f t="shared" si="5"/>
        <v>516.80000000000007</v>
      </c>
      <c r="M104" s="128"/>
      <c r="N104" s="129">
        <f t="shared" si="6"/>
        <v>110458.09999999986</v>
      </c>
    </row>
    <row r="105" spans="1:14" ht="15" x14ac:dyDescent="0.25">
      <c r="A105" s="10">
        <v>43151</v>
      </c>
      <c r="B105" s="111">
        <v>754</v>
      </c>
      <c r="C105" s="134"/>
      <c r="D105" s="135"/>
      <c r="E105" s="122"/>
      <c r="F105" s="122"/>
      <c r="G105" s="126" t="s">
        <v>155</v>
      </c>
      <c r="H105" s="136"/>
      <c r="I105" s="136"/>
      <c r="J105" s="135">
        <v>576</v>
      </c>
      <c r="K105" s="128">
        <f t="shared" si="4"/>
        <v>184.32</v>
      </c>
      <c r="L105" s="128">
        <f t="shared" si="5"/>
        <v>391.68</v>
      </c>
      <c r="M105" s="128"/>
      <c r="N105" s="129">
        <f t="shared" si="6"/>
        <v>110849.77999999985</v>
      </c>
    </row>
    <row r="106" spans="1:14" ht="15" x14ac:dyDescent="0.25">
      <c r="A106" s="10">
        <v>43152</v>
      </c>
      <c r="B106" s="111">
        <v>754</v>
      </c>
      <c r="C106" s="134"/>
      <c r="D106" s="135"/>
      <c r="E106" s="122"/>
      <c r="F106" s="122"/>
      <c r="G106" s="126" t="s">
        <v>155</v>
      </c>
      <c r="H106" s="136"/>
      <c r="I106" s="136"/>
      <c r="J106" s="135">
        <v>625</v>
      </c>
      <c r="K106" s="128">
        <f t="shared" si="4"/>
        <v>200</v>
      </c>
      <c r="L106" s="128">
        <f t="shared" si="5"/>
        <v>425.00000000000006</v>
      </c>
      <c r="M106" s="128"/>
      <c r="N106" s="129">
        <f t="shared" si="6"/>
        <v>111274.77999999985</v>
      </c>
    </row>
    <row r="107" spans="1:14" ht="15" x14ac:dyDescent="0.25">
      <c r="A107" s="10">
        <v>43153</v>
      </c>
      <c r="B107" s="111">
        <v>754</v>
      </c>
      <c r="C107" s="134"/>
      <c r="D107" s="135"/>
      <c r="E107" s="122"/>
      <c r="F107" s="122"/>
      <c r="G107" s="126" t="s">
        <v>155</v>
      </c>
      <c r="H107" s="136"/>
      <c r="I107" s="136"/>
      <c r="J107" s="135">
        <v>616</v>
      </c>
      <c r="K107" s="128">
        <f t="shared" si="4"/>
        <v>197.12</v>
      </c>
      <c r="L107" s="128">
        <f t="shared" si="5"/>
        <v>418.88000000000005</v>
      </c>
      <c r="M107" s="128"/>
      <c r="N107" s="129">
        <f t="shared" si="6"/>
        <v>111693.65999999986</v>
      </c>
    </row>
    <row r="108" spans="1:14" x14ac:dyDescent="0.2">
      <c r="A108" s="10">
        <v>43154</v>
      </c>
      <c r="B108" s="111">
        <v>754</v>
      </c>
      <c r="C108" s="122"/>
      <c r="D108" s="122"/>
      <c r="E108" s="122"/>
      <c r="F108" s="122"/>
      <c r="G108" s="126" t="s">
        <v>155</v>
      </c>
      <c r="H108" s="123"/>
      <c r="I108" s="123"/>
      <c r="J108" s="127">
        <v>596</v>
      </c>
      <c r="K108" s="128">
        <f t="shared" si="4"/>
        <v>190.72</v>
      </c>
      <c r="L108" s="128">
        <f t="shared" si="5"/>
        <v>405.28000000000003</v>
      </c>
      <c r="M108" s="128"/>
      <c r="N108" s="129">
        <f t="shared" si="6"/>
        <v>112098.93999999986</v>
      </c>
    </row>
    <row r="109" spans="1:14" x14ac:dyDescent="0.2">
      <c r="A109" s="10">
        <v>43157</v>
      </c>
      <c r="B109" s="184">
        <v>1086</v>
      </c>
      <c r="C109" s="122"/>
      <c r="D109" s="122"/>
      <c r="E109" s="122"/>
      <c r="F109" s="122"/>
      <c r="G109" s="126" t="s">
        <v>156</v>
      </c>
      <c r="H109" s="123"/>
      <c r="I109" s="123"/>
      <c r="J109" s="127">
        <v>596</v>
      </c>
      <c r="K109" s="128">
        <f t="shared" si="4"/>
        <v>190.72</v>
      </c>
      <c r="L109" s="128">
        <f t="shared" si="5"/>
        <v>405.28000000000003</v>
      </c>
      <c r="M109" s="128"/>
      <c r="N109" s="129">
        <f t="shared" si="6"/>
        <v>112504.21999999986</v>
      </c>
    </row>
    <row r="110" spans="1:14" x14ac:dyDescent="0.2">
      <c r="A110" s="10">
        <v>43158</v>
      </c>
      <c r="B110" s="184">
        <v>1086</v>
      </c>
      <c r="C110" s="122"/>
      <c r="D110" s="122"/>
      <c r="E110" s="122"/>
      <c r="F110" s="122"/>
      <c r="G110" s="126" t="s">
        <v>156</v>
      </c>
      <c r="H110" s="123"/>
      <c r="I110" s="123"/>
      <c r="J110" s="127">
        <v>740</v>
      </c>
      <c r="K110" s="128">
        <f t="shared" si="4"/>
        <v>236.8</v>
      </c>
      <c r="L110" s="128">
        <f t="shared" si="5"/>
        <v>503.20000000000005</v>
      </c>
      <c r="M110" s="128"/>
      <c r="N110" s="129">
        <f t="shared" si="6"/>
        <v>113007.41999999985</v>
      </c>
    </row>
    <row r="111" spans="1:14" x14ac:dyDescent="0.2">
      <c r="A111" s="10">
        <v>43159</v>
      </c>
      <c r="B111" s="184">
        <v>1086</v>
      </c>
      <c r="C111" s="122"/>
      <c r="D111" s="122"/>
      <c r="E111" s="122"/>
      <c r="F111" s="122"/>
      <c r="G111" s="126" t="s">
        <v>156</v>
      </c>
      <c r="H111" s="123"/>
      <c r="I111" s="123"/>
      <c r="J111" s="127">
        <v>1476</v>
      </c>
      <c r="K111" s="128">
        <f t="shared" si="4"/>
        <v>472.32</v>
      </c>
      <c r="L111" s="128">
        <f t="shared" si="5"/>
        <v>1003.6800000000001</v>
      </c>
      <c r="M111" s="128"/>
      <c r="N111" s="129">
        <f t="shared" si="6"/>
        <v>114011.09999999985</v>
      </c>
    </row>
    <row r="112" spans="1:14" x14ac:dyDescent="0.2">
      <c r="A112" s="10"/>
      <c r="B112" s="184"/>
      <c r="C112" s="122"/>
      <c r="D112" s="122"/>
      <c r="E112" s="122"/>
      <c r="F112" s="122"/>
      <c r="G112" s="126"/>
      <c r="H112" s="123"/>
      <c r="I112" s="123"/>
      <c r="J112" s="127"/>
      <c r="K112" s="128">
        <f t="shared" si="4"/>
        <v>0</v>
      </c>
      <c r="L112" s="128">
        <f t="shared" si="5"/>
        <v>0</v>
      </c>
      <c r="M112" s="128"/>
      <c r="N112" s="129">
        <f t="shared" si="6"/>
        <v>114011.09999999985</v>
      </c>
    </row>
    <row r="113" spans="1:14" x14ac:dyDescent="0.2">
      <c r="A113" s="10">
        <v>43132</v>
      </c>
      <c r="B113" s="184"/>
      <c r="C113" s="122"/>
      <c r="D113" s="122"/>
      <c r="E113" s="122"/>
      <c r="F113" s="122"/>
      <c r="G113" s="126"/>
      <c r="H113" s="123"/>
      <c r="I113" s="123"/>
      <c r="J113" s="127">
        <v>308</v>
      </c>
      <c r="K113" s="128">
        <f t="shared" si="4"/>
        <v>98.56</v>
      </c>
      <c r="L113" s="128">
        <f t="shared" si="5"/>
        <v>209.44000000000003</v>
      </c>
      <c r="M113" s="128"/>
      <c r="N113" s="129">
        <f t="shared" si="6"/>
        <v>114220.53999999985</v>
      </c>
    </row>
    <row r="114" spans="1:14" x14ac:dyDescent="0.2">
      <c r="A114" s="10">
        <v>43133</v>
      </c>
      <c r="B114" s="184"/>
      <c r="C114" s="122"/>
      <c r="D114" s="122"/>
      <c r="E114" s="122"/>
      <c r="F114" s="122"/>
      <c r="G114" s="126"/>
      <c r="H114" s="123"/>
      <c r="I114" s="123"/>
      <c r="J114" s="127">
        <v>328</v>
      </c>
      <c r="K114" s="128">
        <f t="shared" si="4"/>
        <v>104.96000000000001</v>
      </c>
      <c r="L114" s="128">
        <f t="shared" si="5"/>
        <v>223.04000000000002</v>
      </c>
      <c r="M114" s="128"/>
      <c r="N114" s="129">
        <f t="shared" si="6"/>
        <v>114443.57999999984</v>
      </c>
    </row>
    <row r="115" spans="1:14" x14ac:dyDescent="0.2">
      <c r="A115" s="10">
        <v>43137</v>
      </c>
      <c r="B115" s="184"/>
      <c r="C115" s="122"/>
      <c r="D115" s="122"/>
      <c r="E115" s="122"/>
      <c r="F115" s="122"/>
      <c r="G115" s="126"/>
      <c r="H115" s="123"/>
      <c r="I115" s="123"/>
      <c r="J115" s="127">
        <v>834</v>
      </c>
      <c r="K115" s="128">
        <f t="shared" si="4"/>
        <v>266.88</v>
      </c>
      <c r="L115" s="128">
        <f t="shared" si="5"/>
        <v>567.12</v>
      </c>
      <c r="M115" s="128"/>
      <c r="N115" s="129">
        <f t="shared" si="6"/>
        <v>115010.69999999984</v>
      </c>
    </row>
    <row r="116" spans="1:14" x14ac:dyDescent="0.2">
      <c r="A116" s="10">
        <v>43138</v>
      </c>
      <c r="B116" s="184"/>
      <c r="C116" s="122"/>
      <c r="D116" s="122"/>
      <c r="E116" s="122"/>
      <c r="F116" s="122"/>
      <c r="G116" s="126"/>
      <c r="H116" s="123"/>
      <c r="I116" s="123"/>
      <c r="J116" s="127">
        <v>454</v>
      </c>
      <c r="K116" s="128">
        <f t="shared" si="4"/>
        <v>145.28</v>
      </c>
      <c r="L116" s="128">
        <f t="shared" si="5"/>
        <v>308.72000000000003</v>
      </c>
      <c r="M116" s="128"/>
      <c r="N116" s="129">
        <f t="shared" si="6"/>
        <v>115319.41999999984</v>
      </c>
    </row>
    <row r="117" spans="1:14" x14ac:dyDescent="0.2">
      <c r="A117" s="10"/>
      <c r="B117" s="184"/>
      <c r="C117" s="122"/>
      <c r="D117" s="122"/>
      <c r="E117" s="122"/>
      <c r="F117" s="122"/>
      <c r="G117" s="126"/>
      <c r="H117" s="123"/>
      <c r="I117" s="123"/>
      <c r="J117" s="127"/>
      <c r="K117" s="128">
        <f t="shared" si="4"/>
        <v>0</v>
      </c>
      <c r="L117" s="128">
        <f t="shared" si="5"/>
        <v>0</v>
      </c>
      <c r="M117" s="128"/>
      <c r="N117" s="129">
        <f t="shared" si="6"/>
        <v>115319.41999999984</v>
      </c>
    </row>
    <row r="118" spans="1:14" x14ac:dyDescent="0.2">
      <c r="A118" s="10">
        <v>43140</v>
      </c>
      <c r="B118" s="184"/>
      <c r="C118" s="122"/>
      <c r="D118" s="122"/>
      <c r="E118" s="122"/>
      <c r="F118" s="122"/>
      <c r="G118" s="126"/>
      <c r="H118" s="123"/>
      <c r="I118" s="123"/>
      <c r="J118" s="127">
        <v>244</v>
      </c>
      <c r="K118" s="128">
        <f t="shared" si="4"/>
        <v>78.08</v>
      </c>
      <c r="L118" s="128">
        <f t="shared" si="5"/>
        <v>165.92000000000002</v>
      </c>
      <c r="M118" s="128"/>
      <c r="N118" s="129">
        <f t="shared" si="6"/>
        <v>115485.33999999984</v>
      </c>
    </row>
    <row r="119" spans="1:14" x14ac:dyDescent="0.2">
      <c r="A119" s="10"/>
      <c r="B119" s="184"/>
      <c r="C119" s="122"/>
      <c r="D119" s="122"/>
      <c r="E119" s="122"/>
      <c r="F119" s="122"/>
      <c r="G119" s="126"/>
      <c r="H119" s="123"/>
      <c r="I119" s="123"/>
      <c r="J119" s="127"/>
      <c r="K119" s="128">
        <f t="shared" si="4"/>
        <v>0</v>
      </c>
      <c r="L119" s="128">
        <f t="shared" si="5"/>
        <v>0</v>
      </c>
      <c r="M119" s="128"/>
      <c r="N119" s="129">
        <f t="shared" si="6"/>
        <v>115485.33999999984</v>
      </c>
    </row>
    <row r="120" spans="1:14" x14ac:dyDescent="0.2">
      <c r="A120" s="10"/>
      <c r="B120" s="184"/>
      <c r="C120" s="122"/>
      <c r="D120" s="122"/>
      <c r="E120" s="122"/>
      <c r="F120" s="122"/>
      <c r="G120" s="126"/>
      <c r="H120" s="123"/>
      <c r="I120" s="123"/>
      <c r="J120" s="127"/>
      <c r="K120" s="128">
        <f t="shared" si="4"/>
        <v>0</v>
      </c>
      <c r="L120" s="128">
        <f t="shared" si="5"/>
        <v>0</v>
      </c>
      <c r="M120" s="128"/>
      <c r="N120" s="129">
        <f t="shared" si="6"/>
        <v>115485.33999999984</v>
      </c>
    </row>
    <row r="121" spans="1:14" x14ac:dyDescent="0.2">
      <c r="A121" s="10">
        <v>43143</v>
      </c>
      <c r="B121" s="184"/>
      <c r="C121" s="122"/>
      <c r="D121" s="122"/>
      <c r="E121" s="122"/>
      <c r="F121" s="122"/>
      <c r="G121" s="126"/>
      <c r="H121" s="123"/>
      <c r="I121" s="123"/>
      <c r="J121" s="127">
        <v>288</v>
      </c>
      <c r="K121" s="128">
        <f t="shared" si="4"/>
        <v>92.16</v>
      </c>
      <c r="L121" s="128">
        <f t="shared" si="5"/>
        <v>195.84</v>
      </c>
      <c r="M121" s="128"/>
      <c r="N121" s="129">
        <f t="shared" si="6"/>
        <v>115681.17999999983</v>
      </c>
    </row>
    <row r="122" spans="1:14" x14ac:dyDescent="0.2">
      <c r="A122" s="10">
        <v>43144</v>
      </c>
      <c r="B122" s="184"/>
      <c r="C122" s="122"/>
      <c r="D122" s="122"/>
      <c r="E122" s="122"/>
      <c r="F122" s="122"/>
      <c r="G122" s="126"/>
      <c r="H122" s="123"/>
      <c r="I122" s="123"/>
      <c r="J122" s="127">
        <v>144</v>
      </c>
      <c r="K122" s="128">
        <f t="shared" si="4"/>
        <v>46.08</v>
      </c>
      <c r="L122" s="128">
        <f t="shared" si="5"/>
        <v>97.92</v>
      </c>
      <c r="M122" s="128"/>
      <c r="N122" s="129">
        <f t="shared" si="6"/>
        <v>115779.09999999983</v>
      </c>
    </row>
    <row r="123" spans="1:14" x14ac:dyDescent="0.2">
      <c r="A123" s="10">
        <v>43145</v>
      </c>
      <c r="B123" s="184"/>
      <c r="C123" s="122"/>
      <c r="D123" s="122"/>
      <c r="E123" s="122"/>
      <c r="F123" s="122"/>
      <c r="G123" s="126"/>
      <c r="H123" s="123"/>
      <c r="I123" s="123"/>
      <c r="J123" s="127">
        <v>880</v>
      </c>
      <c r="K123" s="128">
        <f t="shared" si="4"/>
        <v>281.60000000000002</v>
      </c>
      <c r="L123" s="128">
        <f t="shared" si="5"/>
        <v>598.40000000000009</v>
      </c>
      <c r="M123" s="128"/>
      <c r="N123" s="129">
        <f t="shared" si="6"/>
        <v>116377.49999999983</v>
      </c>
    </row>
    <row r="124" spans="1:14" x14ac:dyDescent="0.2">
      <c r="A124" s="10">
        <v>43146</v>
      </c>
      <c r="B124" s="184"/>
      <c r="C124" s="122"/>
      <c r="D124" s="122"/>
      <c r="E124" s="122"/>
      <c r="F124" s="122"/>
      <c r="G124" s="126"/>
      <c r="H124" s="123"/>
      <c r="I124" s="123"/>
      <c r="J124" s="127">
        <v>200</v>
      </c>
      <c r="K124" s="128">
        <f t="shared" si="4"/>
        <v>64</v>
      </c>
      <c r="L124" s="128">
        <f t="shared" si="5"/>
        <v>136</v>
      </c>
      <c r="M124" s="128"/>
      <c r="N124" s="129">
        <f t="shared" si="6"/>
        <v>116513.49999999983</v>
      </c>
    </row>
    <row r="125" spans="1:14" x14ac:dyDescent="0.2">
      <c r="A125" s="10">
        <v>43147</v>
      </c>
      <c r="B125" s="184"/>
      <c r="C125" s="122"/>
      <c r="D125" s="122"/>
      <c r="E125" s="122"/>
      <c r="F125" s="122"/>
      <c r="G125" s="126"/>
      <c r="H125" s="123"/>
      <c r="I125" s="123"/>
      <c r="J125" s="127">
        <v>164</v>
      </c>
      <c r="K125" s="128">
        <f t="shared" si="4"/>
        <v>52.480000000000004</v>
      </c>
      <c r="L125" s="128">
        <f t="shared" si="5"/>
        <v>111.52000000000001</v>
      </c>
      <c r="M125" s="128"/>
      <c r="N125" s="129">
        <f t="shared" si="6"/>
        <v>116625.01999999983</v>
      </c>
    </row>
    <row r="126" spans="1:14" x14ac:dyDescent="0.2">
      <c r="A126" s="10">
        <v>43148</v>
      </c>
      <c r="B126" s="184"/>
      <c r="C126" s="122"/>
      <c r="D126" s="122"/>
      <c r="E126" s="122"/>
      <c r="F126" s="122"/>
      <c r="G126" s="126"/>
      <c r="H126" s="123"/>
      <c r="I126" s="123"/>
      <c r="J126" s="127">
        <v>144</v>
      </c>
      <c r="K126" s="128">
        <f t="shared" si="4"/>
        <v>46.08</v>
      </c>
      <c r="L126" s="128">
        <f t="shared" si="5"/>
        <v>97.92</v>
      </c>
      <c r="M126" s="128"/>
      <c r="N126" s="129">
        <f t="shared" si="6"/>
        <v>116722.93999999983</v>
      </c>
    </row>
    <row r="127" spans="1:14" x14ac:dyDescent="0.2">
      <c r="A127" s="10"/>
      <c r="B127" s="184"/>
      <c r="C127" s="122"/>
      <c r="D127" s="122"/>
      <c r="E127" s="122"/>
      <c r="F127" s="122"/>
      <c r="G127" s="126"/>
      <c r="H127" s="123"/>
      <c r="I127" s="123"/>
      <c r="J127" s="127"/>
      <c r="K127" s="128">
        <f t="shared" si="4"/>
        <v>0</v>
      </c>
      <c r="L127" s="128">
        <f t="shared" si="5"/>
        <v>0</v>
      </c>
      <c r="M127" s="128"/>
      <c r="N127" s="129">
        <f t="shared" si="6"/>
        <v>116722.93999999983</v>
      </c>
    </row>
    <row r="128" spans="1:14" x14ac:dyDescent="0.2">
      <c r="A128" s="10">
        <v>43150</v>
      </c>
      <c r="B128" s="184"/>
      <c r="C128" s="122"/>
      <c r="D128" s="122"/>
      <c r="E128" s="122"/>
      <c r="F128" s="122"/>
      <c r="G128" s="126"/>
      <c r="H128" s="123"/>
      <c r="I128" s="123"/>
      <c r="J128" s="127">
        <v>364</v>
      </c>
      <c r="K128" s="128">
        <f t="shared" si="4"/>
        <v>116.48</v>
      </c>
      <c r="L128" s="128">
        <f t="shared" si="5"/>
        <v>247.52</v>
      </c>
      <c r="M128" s="128"/>
      <c r="N128" s="129">
        <f t="shared" si="6"/>
        <v>116970.45999999983</v>
      </c>
    </row>
    <row r="129" spans="1:14" x14ac:dyDescent="0.2">
      <c r="A129" s="10"/>
      <c r="B129" s="184"/>
      <c r="C129" s="122"/>
      <c r="D129" s="122"/>
      <c r="E129" s="122"/>
      <c r="F129" s="122"/>
      <c r="G129" s="126"/>
      <c r="H129" s="123"/>
      <c r="I129" s="123"/>
      <c r="J129" s="127"/>
      <c r="K129" s="128">
        <f t="shared" si="4"/>
        <v>0</v>
      </c>
      <c r="L129" s="128">
        <f t="shared" si="5"/>
        <v>0</v>
      </c>
      <c r="M129" s="128"/>
      <c r="N129" s="129">
        <f t="shared" si="6"/>
        <v>116970.45999999983</v>
      </c>
    </row>
    <row r="130" spans="1:14" x14ac:dyDescent="0.2">
      <c r="A130" s="10">
        <v>43152</v>
      </c>
      <c r="B130" s="184"/>
      <c r="C130" s="122"/>
      <c r="D130" s="122"/>
      <c r="E130" s="122"/>
      <c r="F130" s="122"/>
      <c r="G130" s="126"/>
      <c r="H130" s="123"/>
      <c r="I130" s="123"/>
      <c r="J130" s="127">
        <v>596</v>
      </c>
      <c r="K130" s="128">
        <f t="shared" si="4"/>
        <v>190.72</v>
      </c>
      <c r="L130" s="128">
        <f t="shared" si="5"/>
        <v>405.28000000000003</v>
      </c>
      <c r="M130" s="128"/>
      <c r="N130" s="129">
        <f t="shared" si="6"/>
        <v>117375.73999999983</v>
      </c>
    </row>
    <row r="131" spans="1:14" x14ac:dyDescent="0.2">
      <c r="A131" s="10">
        <v>43153</v>
      </c>
      <c r="B131" s="184"/>
      <c r="C131" s="122"/>
      <c r="D131" s="122"/>
      <c r="E131" s="122"/>
      <c r="F131" s="122"/>
      <c r="G131" s="126"/>
      <c r="H131" s="123"/>
      <c r="I131" s="123"/>
      <c r="J131" s="127">
        <v>144</v>
      </c>
      <c r="K131" s="128">
        <f t="shared" si="4"/>
        <v>46.08</v>
      </c>
      <c r="L131" s="128">
        <f t="shared" si="5"/>
        <v>97.92</v>
      </c>
      <c r="M131" s="128"/>
      <c r="N131" s="129">
        <f t="shared" si="6"/>
        <v>117473.65999999983</v>
      </c>
    </row>
    <row r="132" spans="1:14" x14ac:dyDescent="0.2">
      <c r="A132" s="10">
        <v>43154</v>
      </c>
      <c r="B132" s="184"/>
      <c r="C132" s="122"/>
      <c r="D132" s="122"/>
      <c r="E132" s="122"/>
      <c r="F132" s="122"/>
      <c r="G132" s="126"/>
      <c r="H132" s="123"/>
      <c r="I132" s="123"/>
      <c r="J132" s="127">
        <v>884</v>
      </c>
      <c r="K132" s="128">
        <f t="shared" si="4"/>
        <v>282.88</v>
      </c>
      <c r="L132" s="128">
        <f t="shared" si="5"/>
        <v>601.12</v>
      </c>
      <c r="M132" s="128"/>
      <c r="N132" s="129">
        <f t="shared" si="6"/>
        <v>118074.77999999982</v>
      </c>
    </row>
    <row r="133" spans="1:14" x14ac:dyDescent="0.2">
      <c r="A133" s="10">
        <v>43155</v>
      </c>
      <c r="B133" s="184"/>
      <c r="C133" s="122"/>
      <c r="D133" s="122"/>
      <c r="E133" s="122"/>
      <c r="F133" s="122"/>
      <c r="G133" s="126"/>
      <c r="H133" s="123"/>
      <c r="I133" s="123"/>
      <c r="J133" s="127">
        <v>144</v>
      </c>
      <c r="K133" s="128">
        <f t="shared" si="4"/>
        <v>46.08</v>
      </c>
      <c r="L133" s="128">
        <f t="shared" si="5"/>
        <v>97.92</v>
      </c>
      <c r="M133" s="128"/>
      <c r="N133" s="129">
        <f t="shared" si="6"/>
        <v>118172.69999999982</v>
      </c>
    </row>
    <row r="134" spans="1:14" x14ac:dyDescent="0.2">
      <c r="A134" s="10"/>
      <c r="B134" s="184"/>
      <c r="C134" s="122"/>
      <c r="D134" s="122"/>
      <c r="E134" s="122"/>
      <c r="F134" s="122"/>
      <c r="G134" s="126"/>
      <c r="H134" s="123"/>
      <c r="I134" s="123"/>
      <c r="J134" s="127"/>
      <c r="K134" s="128">
        <f t="shared" si="4"/>
        <v>0</v>
      </c>
      <c r="L134" s="128">
        <f t="shared" si="5"/>
        <v>0</v>
      </c>
      <c r="M134" s="128"/>
      <c r="N134" s="129">
        <f t="shared" si="6"/>
        <v>118172.69999999982</v>
      </c>
    </row>
    <row r="135" spans="1:14" x14ac:dyDescent="0.2">
      <c r="A135" s="10">
        <v>43157</v>
      </c>
      <c r="B135" s="184"/>
      <c r="C135" s="122"/>
      <c r="D135" s="122"/>
      <c r="E135" s="122"/>
      <c r="F135" s="122"/>
      <c r="G135" s="126"/>
      <c r="H135" s="123"/>
      <c r="I135" s="123"/>
      <c r="J135" s="127">
        <v>1038</v>
      </c>
      <c r="K135" s="128">
        <f t="shared" si="4"/>
        <v>332.16</v>
      </c>
      <c r="L135" s="128">
        <f t="shared" si="5"/>
        <v>705.84</v>
      </c>
      <c r="M135" s="128"/>
      <c r="N135" s="129">
        <f t="shared" si="6"/>
        <v>118878.53999999982</v>
      </c>
    </row>
    <row r="136" spans="1:14" x14ac:dyDescent="0.2">
      <c r="A136" s="10">
        <v>43158</v>
      </c>
      <c r="B136" s="184"/>
      <c r="C136" s="122"/>
      <c r="D136" s="122"/>
      <c r="E136" s="122"/>
      <c r="F136" s="122"/>
      <c r="G136" s="126"/>
      <c r="H136" s="123"/>
      <c r="I136" s="123"/>
      <c r="J136" s="127">
        <v>1052</v>
      </c>
      <c r="K136" s="128">
        <f t="shared" si="4"/>
        <v>336.64</v>
      </c>
      <c r="L136" s="128">
        <f t="shared" si="5"/>
        <v>715.36</v>
      </c>
      <c r="M136" s="128"/>
      <c r="N136" s="129">
        <f t="shared" si="6"/>
        <v>119593.89999999982</v>
      </c>
    </row>
    <row r="137" spans="1:14" x14ac:dyDescent="0.2">
      <c r="A137" s="10">
        <v>43159</v>
      </c>
      <c r="B137" s="184"/>
      <c r="C137" s="122"/>
      <c r="D137" s="122"/>
      <c r="E137" s="122"/>
      <c r="F137" s="122"/>
      <c r="G137" s="126"/>
      <c r="H137" s="123"/>
      <c r="I137" s="123"/>
      <c r="J137" s="127">
        <v>1932</v>
      </c>
      <c r="K137" s="128">
        <f t="shared" si="4"/>
        <v>618.24</v>
      </c>
      <c r="L137" s="128">
        <f t="shared" si="5"/>
        <v>1313.76</v>
      </c>
      <c r="M137" s="128"/>
      <c r="N137" s="129">
        <f t="shared" si="6"/>
        <v>120907.65999999981</v>
      </c>
    </row>
    <row r="138" spans="1:14" x14ac:dyDescent="0.2">
      <c r="A138" s="10"/>
      <c r="B138" s="184"/>
      <c r="C138" s="122"/>
      <c r="D138" s="122"/>
      <c r="E138" s="122"/>
      <c r="F138" s="122"/>
      <c r="G138" s="126"/>
      <c r="H138" s="123"/>
      <c r="I138" s="123"/>
      <c r="J138" s="127"/>
      <c r="K138" s="128"/>
      <c r="L138" s="128"/>
      <c r="M138" s="128"/>
      <c r="N138" s="129">
        <f t="shared" si="6"/>
        <v>120907.65999999981</v>
      </c>
    </row>
    <row r="139" spans="1:14" x14ac:dyDescent="0.2">
      <c r="A139" s="10"/>
      <c r="B139" s="184"/>
      <c r="C139" s="122"/>
      <c r="D139" s="122"/>
      <c r="E139" s="122"/>
      <c r="F139" s="122"/>
      <c r="G139" s="126"/>
      <c r="H139" s="123"/>
      <c r="I139" s="123"/>
      <c r="J139" s="127"/>
      <c r="K139" s="128"/>
      <c r="L139" s="128"/>
      <c r="M139" s="128"/>
      <c r="N139" s="129">
        <f t="shared" si="6"/>
        <v>120907.65999999981</v>
      </c>
    </row>
    <row r="140" spans="1:14" x14ac:dyDescent="0.2">
      <c r="A140" s="10"/>
      <c r="B140" s="184"/>
      <c r="C140" s="122"/>
      <c r="D140" s="122"/>
      <c r="E140" s="122"/>
      <c r="F140" s="122"/>
      <c r="G140" s="126"/>
      <c r="H140" s="123"/>
      <c r="I140" s="123"/>
      <c r="J140" s="127"/>
      <c r="K140" s="128"/>
      <c r="L140" s="128"/>
      <c r="M140" s="128"/>
      <c r="N140" s="129">
        <f t="shared" si="6"/>
        <v>120907.65999999981</v>
      </c>
    </row>
    <row r="141" spans="1:14" x14ac:dyDescent="0.2">
      <c r="A141" s="10"/>
      <c r="B141" s="184"/>
      <c r="C141" s="122"/>
      <c r="D141" s="122"/>
      <c r="E141" s="122"/>
      <c r="F141" s="122"/>
      <c r="G141" s="126"/>
      <c r="H141" s="123"/>
      <c r="I141" s="123"/>
      <c r="J141" s="127"/>
      <c r="K141" s="128"/>
      <c r="L141" s="128"/>
      <c r="M141" s="128"/>
      <c r="N141" s="129">
        <f t="shared" si="6"/>
        <v>120907.65999999981</v>
      </c>
    </row>
    <row r="142" spans="1:14" x14ac:dyDescent="0.2">
      <c r="A142" s="10"/>
      <c r="B142" s="11"/>
      <c r="C142" s="122"/>
      <c r="D142" s="122"/>
      <c r="E142" s="122"/>
      <c r="F142" s="122"/>
      <c r="G142" s="126"/>
      <c r="H142" s="123"/>
      <c r="I142" s="123"/>
      <c r="J142" s="127"/>
      <c r="K142" s="128"/>
      <c r="L142" s="128"/>
      <c r="M142" s="128"/>
      <c r="N142" s="129">
        <f t="shared" si="6"/>
        <v>120907.65999999981</v>
      </c>
    </row>
    <row r="143" spans="1:14" x14ac:dyDescent="0.2">
      <c r="A143" s="10"/>
      <c r="B143" s="11"/>
      <c r="C143" s="122"/>
      <c r="D143" s="122"/>
      <c r="E143" s="122"/>
      <c r="F143" s="114"/>
      <c r="G143" s="114"/>
      <c r="H143" s="123"/>
      <c r="I143" s="123"/>
      <c r="J143" s="135"/>
      <c r="K143" s="128"/>
      <c r="L143" s="128"/>
      <c r="M143" s="128"/>
      <c r="N143" s="129">
        <f t="shared" si="6"/>
        <v>120907.65999999981</v>
      </c>
    </row>
    <row r="144" spans="1:14" ht="15" x14ac:dyDescent="0.25">
      <c r="A144" s="533" t="s">
        <v>88</v>
      </c>
      <c r="B144" s="534"/>
      <c r="C144" s="534"/>
      <c r="D144" s="534"/>
      <c r="E144" s="534"/>
      <c r="F144" s="534"/>
      <c r="G144" s="534"/>
      <c r="H144" s="534"/>
      <c r="I144" s="534"/>
      <c r="J144" s="534"/>
      <c r="K144" s="534"/>
      <c r="L144" s="534"/>
      <c r="M144" s="534"/>
      <c r="N144" s="129">
        <f t="shared" si="6"/>
        <v>120907.65999999981</v>
      </c>
    </row>
    <row r="145" spans="1:14" x14ac:dyDescent="0.2">
      <c r="A145" s="131"/>
      <c r="B145" s="132"/>
      <c r="C145" s="122"/>
      <c r="D145" s="122"/>
      <c r="E145" s="122"/>
      <c r="F145" s="122"/>
      <c r="G145" s="133"/>
      <c r="H145" s="123"/>
      <c r="I145" s="123"/>
      <c r="J145" s="127"/>
      <c r="K145" s="128"/>
      <c r="L145" s="128"/>
      <c r="M145" s="128"/>
      <c r="N145" s="129">
        <f t="shared" si="6"/>
        <v>120907.65999999981</v>
      </c>
    </row>
    <row r="146" spans="1:14" x14ac:dyDescent="0.2">
      <c r="A146" s="185">
        <v>43162</v>
      </c>
      <c r="B146" s="151" t="s">
        <v>157</v>
      </c>
      <c r="C146" s="152"/>
      <c r="D146" s="186" t="s">
        <v>158</v>
      </c>
      <c r="E146" s="122"/>
      <c r="F146" s="146" t="s">
        <v>159</v>
      </c>
      <c r="G146" s="147" t="s">
        <v>160</v>
      </c>
      <c r="H146" s="148"/>
      <c r="I146" s="148"/>
      <c r="J146" s="127"/>
      <c r="K146" s="128"/>
      <c r="L146" s="128"/>
      <c r="M146" s="149">
        <v>1700</v>
      </c>
      <c r="N146" s="129">
        <f t="shared" si="6"/>
        <v>119207.65999999981</v>
      </c>
    </row>
    <row r="147" spans="1:14" x14ac:dyDescent="0.2">
      <c r="A147" s="185"/>
      <c r="B147" s="151" t="s">
        <v>161</v>
      </c>
      <c r="C147" s="152"/>
      <c r="D147" s="186" t="s">
        <v>162</v>
      </c>
      <c r="E147" s="122"/>
      <c r="F147" s="146"/>
      <c r="G147" s="147" t="s">
        <v>163</v>
      </c>
      <c r="H147" s="148"/>
      <c r="I147" s="148"/>
      <c r="J147" s="127"/>
      <c r="K147" s="128"/>
      <c r="L147" s="128"/>
      <c r="M147" s="149">
        <v>950</v>
      </c>
      <c r="N147" s="129">
        <f t="shared" si="6"/>
        <v>118257.65999999981</v>
      </c>
    </row>
    <row r="148" spans="1:14" x14ac:dyDescent="0.2">
      <c r="A148" s="185"/>
      <c r="B148" s="151" t="s">
        <v>164</v>
      </c>
      <c r="C148" s="152"/>
      <c r="D148" s="186" t="s">
        <v>165</v>
      </c>
      <c r="E148" s="122"/>
      <c r="F148" s="146"/>
      <c r="G148" s="147" t="s">
        <v>166</v>
      </c>
      <c r="H148" s="148"/>
      <c r="I148" s="148"/>
      <c r="J148" s="127"/>
      <c r="K148" s="128"/>
      <c r="L148" s="128"/>
      <c r="M148" s="149">
        <v>850</v>
      </c>
      <c r="N148" s="129">
        <f t="shared" si="6"/>
        <v>117407.65999999981</v>
      </c>
    </row>
    <row r="149" spans="1:14" x14ac:dyDescent="0.2">
      <c r="A149" s="185">
        <v>43162</v>
      </c>
      <c r="B149" s="132"/>
      <c r="C149" s="122"/>
      <c r="D149" s="122"/>
      <c r="E149" s="122"/>
      <c r="F149" s="146" t="s">
        <v>167</v>
      </c>
      <c r="G149" s="147" t="s">
        <v>168</v>
      </c>
      <c r="H149" s="148"/>
      <c r="I149" s="148"/>
      <c r="J149" s="127"/>
      <c r="K149" s="128"/>
      <c r="L149" s="128"/>
      <c r="M149" s="149">
        <v>1040</v>
      </c>
      <c r="N149" s="129">
        <f t="shared" si="6"/>
        <v>116367.65999999981</v>
      </c>
    </row>
    <row r="150" spans="1:14" x14ac:dyDescent="0.2">
      <c r="A150" s="185">
        <v>43162</v>
      </c>
      <c r="B150" s="151" t="s">
        <v>169</v>
      </c>
      <c r="C150" s="152"/>
      <c r="D150" s="186" t="s">
        <v>170</v>
      </c>
      <c r="E150" s="122"/>
      <c r="F150" s="146" t="s">
        <v>171</v>
      </c>
      <c r="G150" s="147" t="s">
        <v>172</v>
      </c>
      <c r="H150" s="148"/>
      <c r="I150" s="148"/>
      <c r="J150" s="127"/>
      <c r="K150" s="128"/>
      <c r="L150" s="128"/>
      <c r="M150" s="149">
        <v>600</v>
      </c>
      <c r="N150" s="129">
        <f t="shared" si="6"/>
        <v>115767.65999999981</v>
      </c>
    </row>
    <row r="151" spans="1:14" s="324" customFormat="1" x14ac:dyDescent="0.2">
      <c r="A151" s="316"/>
      <c r="B151" s="317"/>
      <c r="C151" s="318"/>
      <c r="D151" s="318"/>
      <c r="E151" s="318"/>
      <c r="F151" s="319" t="s">
        <v>173</v>
      </c>
      <c r="G151" s="632" t="s">
        <v>174</v>
      </c>
      <c r="H151" s="633"/>
      <c r="I151" s="320">
        <v>1425</v>
      </c>
      <c r="J151" s="321"/>
      <c r="K151" s="322"/>
      <c r="L151" s="322"/>
      <c r="M151" s="320">
        <v>0</v>
      </c>
      <c r="N151" s="323">
        <f t="shared" si="6"/>
        <v>115767.65999999981</v>
      </c>
    </row>
    <row r="152" spans="1:14" x14ac:dyDescent="0.2">
      <c r="A152" s="185"/>
      <c r="B152" s="151" t="s">
        <v>175</v>
      </c>
      <c r="C152" s="152"/>
      <c r="D152" s="186" t="s">
        <v>176</v>
      </c>
      <c r="E152" s="122"/>
      <c r="F152" s="122" t="s">
        <v>177</v>
      </c>
      <c r="G152" s="154" t="s">
        <v>178</v>
      </c>
      <c r="H152" s="123"/>
      <c r="I152" s="123"/>
      <c r="J152" s="127"/>
      <c r="K152" s="128"/>
      <c r="L152" s="128"/>
      <c r="M152" s="149">
        <v>850</v>
      </c>
      <c r="N152" s="129">
        <f t="shared" si="6"/>
        <v>114917.65999999981</v>
      </c>
    </row>
    <row r="153" spans="1:14" x14ac:dyDescent="0.2">
      <c r="A153" s="185"/>
      <c r="B153" s="151" t="s">
        <v>179</v>
      </c>
      <c r="C153" s="152"/>
      <c r="D153" s="186" t="s">
        <v>180</v>
      </c>
      <c r="E153" s="122"/>
      <c r="F153" s="122"/>
      <c r="G153" s="154" t="s">
        <v>181</v>
      </c>
      <c r="H153" s="123"/>
      <c r="I153" s="123"/>
      <c r="J153" s="127"/>
      <c r="K153" s="128"/>
      <c r="L153" s="128"/>
      <c r="M153" s="128">
        <v>950</v>
      </c>
      <c r="N153" s="129">
        <f t="shared" si="6"/>
        <v>113967.65999999981</v>
      </c>
    </row>
    <row r="154" spans="1:14" x14ac:dyDescent="0.2">
      <c r="A154" s="185"/>
      <c r="B154" s="151" t="s">
        <v>182</v>
      </c>
      <c r="C154" s="152"/>
      <c r="D154" s="186" t="s">
        <v>183</v>
      </c>
      <c r="E154" s="122"/>
      <c r="F154" s="122"/>
      <c r="G154" s="154" t="s">
        <v>184</v>
      </c>
      <c r="H154" s="154"/>
      <c r="I154" s="154"/>
      <c r="J154" s="127"/>
      <c r="K154" s="128"/>
      <c r="L154" s="128"/>
      <c r="M154" s="128">
        <v>1700</v>
      </c>
      <c r="N154" s="129">
        <f t="shared" si="6"/>
        <v>112267.65999999981</v>
      </c>
    </row>
    <row r="155" spans="1:14" x14ac:dyDescent="0.2">
      <c r="A155" s="185"/>
      <c r="B155" s="132"/>
      <c r="C155" s="122"/>
      <c r="D155" s="122"/>
      <c r="E155" s="122"/>
      <c r="F155" s="122"/>
      <c r="G155" s="536" t="s">
        <v>150</v>
      </c>
      <c r="H155" s="537"/>
      <c r="I155" s="295"/>
      <c r="J155" s="127"/>
      <c r="K155" s="128"/>
      <c r="L155" s="128"/>
      <c r="M155" s="128"/>
      <c r="N155" s="129">
        <f t="shared" si="6"/>
        <v>112267.65999999981</v>
      </c>
    </row>
    <row r="156" spans="1:14" x14ac:dyDescent="0.2">
      <c r="A156" s="131"/>
      <c r="B156" s="132"/>
      <c r="C156" s="122"/>
      <c r="D156" s="122"/>
      <c r="E156" s="122"/>
      <c r="F156" s="122"/>
      <c r="G156" s="126" t="s">
        <v>185</v>
      </c>
      <c r="H156" s="123"/>
      <c r="I156" s="123"/>
      <c r="J156" s="127"/>
      <c r="K156" s="128"/>
      <c r="L156" s="128"/>
      <c r="M156" s="128">
        <v>56</v>
      </c>
      <c r="N156" s="129">
        <f t="shared" si="6"/>
        <v>112211.65999999981</v>
      </c>
    </row>
    <row r="157" spans="1:14" x14ac:dyDescent="0.2">
      <c r="A157" s="131"/>
      <c r="B157" s="132"/>
      <c r="C157" s="122"/>
      <c r="D157" s="122"/>
      <c r="E157" s="122"/>
      <c r="F157" s="122"/>
      <c r="G157" s="133"/>
      <c r="H157" s="123"/>
      <c r="I157" s="123"/>
      <c r="J157" s="127"/>
      <c r="K157" s="128"/>
      <c r="L157" s="128"/>
      <c r="M157" s="128"/>
      <c r="N157" s="129">
        <f t="shared" si="6"/>
        <v>112211.65999999981</v>
      </c>
    </row>
    <row r="158" spans="1:14" ht="13.5" thickBot="1" x14ac:dyDescent="0.25">
      <c r="A158" s="131"/>
      <c r="B158" s="132"/>
      <c r="C158" s="122"/>
      <c r="D158" s="122"/>
      <c r="E158" s="122"/>
      <c r="F158" s="122"/>
      <c r="G158" s="133"/>
      <c r="H158" s="123"/>
      <c r="I158" s="123"/>
      <c r="J158" s="127"/>
      <c r="K158" s="128"/>
      <c r="L158" s="128"/>
      <c r="M158" s="128"/>
      <c r="N158" s="129"/>
    </row>
    <row r="159" spans="1:14" ht="13.5" thickBot="1" x14ac:dyDescent="0.25">
      <c r="A159" s="115"/>
      <c r="B159" s="116"/>
      <c r="C159" s="117"/>
      <c r="D159" s="117"/>
      <c r="E159" s="157"/>
      <c r="F159" s="158"/>
      <c r="G159" s="159"/>
      <c r="H159" s="160" t="s">
        <v>186</v>
      </c>
      <c r="I159" s="244"/>
      <c r="J159" s="161">
        <f>SUM(J94:J158)</f>
        <v>20433</v>
      </c>
      <c r="K159" s="162">
        <f>SUM(K93:K158)</f>
        <v>6538.5599999999995</v>
      </c>
      <c r="L159" s="163">
        <f>SUM(L93:L158)</f>
        <v>13894.440000000002</v>
      </c>
      <c r="M159" s="164">
        <f>SUM(M145:M158)</f>
        <v>8696</v>
      </c>
      <c r="N159" s="165"/>
    </row>
    <row r="160" spans="1:14" ht="13.5" thickBot="1" x14ac:dyDescent="0.25">
      <c r="A160" s="166"/>
      <c r="C160" s="168"/>
      <c r="D160" s="168"/>
      <c r="E160" s="169"/>
      <c r="F160" s="170"/>
      <c r="G160" s="171"/>
      <c r="H160" s="160" t="s">
        <v>13</v>
      </c>
      <c r="I160" s="314"/>
      <c r="J160" s="172"/>
      <c r="K160" s="173"/>
      <c r="L160" s="174"/>
      <c r="M160" s="174"/>
      <c r="N160" s="175">
        <f>+L159-M159+N93</f>
        <v>112211.65999999986</v>
      </c>
    </row>
    <row r="161" spans="1:14" x14ac:dyDescent="0.2">
      <c r="A161" s="166"/>
      <c r="C161" s="168"/>
      <c r="D161" s="168"/>
      <c r="E161" s="169"/>
      <c r="F161" s="170"/>
      <c r="G161" s="171"/>
      <c r="H161" s="171"/>
      <c r="I161" s="171"/>
      <c r="J161" s="171"/>
      <c r="K161" s="188"/>
      <c r="L161" s="180"/>
      <c r="M161" s="180"/>
      <c r="N161" s="189"/>
    </row>
    <row r="162" spans="1:14" x14ac:dyDescent="0.2">
      <c r="A162" s="166"/>
      <c r="C162" s="168"/>
      <c r="D162" s="168"/>
      <c r="E162" s="169"/>
      <c r="F162" s="170"/>
      <c r="G162" s="171"/>
      <c r="H162" s="171"/>
      <c r="I162" s="171"/>
      <c r="J162" s="171"/>
      <c r="K162" s="188"/>
      <c r="L162" s="180"/>
      <c r="M162" s="180"/>
      <c r="N162" s="189"/>
    </row>
    <row r="163" spans="1:14" x14ac:dyDescent="0.2">
      <c r="A163" s="527" t="s">
        <v>95</v>
      </c>
      <c r="B163" s="528"/>
      <c r="C163" s="528"/>
      <c r="D163" s="528"/>
      <c r="E163" s="528"/>
      <c r="F163" s="528"/>
      <c r="G163" s="528"/>
      <c r="H163" s="528"/>
      <c r="I163" s="528"/>
      <c r="J163" s="528"/>
      <c r="K163" s="528"/>
      <c r="L163" s="528"/>
      <c r="M163" s="528"/>
      <c r="N163" s="529"/>
    </row>
    <row r="164" spans="1:14" x14ac:dyDescent="0.2">
      <c r="A164" s="530"/>
      <c r="B164" s="531"/>
      <c r="C164" s="531"/>
      <c r="D164" s="531"/>
      <c r="E164" s="531"/>
      <c r="F164" s="531"/>
      <c r="G164" s="531"/>
      <c r="H164" s="531"/>
      <c r="I164" s="531"/>
      <c r="J164" s="531"/>
      <c r="K164" s="531"/>
      <c r="L164" s="531"/>
      <c r="M164" s="531"/>
      <c r="N164" s="532"/>
    </row>
    <row r="165" spans="1:14" ht="15" x14ac:dyDescent="0.25">
      <c r="A165" s="533" t="s">
        <v>187</v>
      </c>
      <c r="B165" s="534"/>
      <c r="C165" s="534"/>
      <c r="D165" s="534"/>
      <c r="E165" s="534"/>
      <c r="F165" s="534"/>
      <c r="G165" s="534"/>
      <c r="H165" s="534"/>
      <c r="I165" s="534"/>
      <c r="J165" s="534"/>
      <c r="K165" s="534"/>
      <c r="L165" s="534"/>
      <c r="M165" s="534"/>
      <c r="N165" s="534"/>
    </row>
    <row r="166" spans="1:14" x14ac:dyDescent="0.2">
      <c r="A166" s="115" t="s">
        <v>1</v>
      </c>
      <c r="B166" s="116" t="s">
        <v>2</v>
      </c>
      <c r="C166" s="117" t="s">
        <v>3</v>
      </c>
      <c r="D166" s="117" t="s">
        <v>4</v>
      </c>
      <c r="E166" s="117" t="s">
        <v>96</v>
      </c>
      <c r="F166" s="117" t="s">
        <v>5</v>
      </c>
      <c r="G166" s="118" t="s">
        <v>97</v>
      </c>
      <c r="H166" s="118" t="s">
        <v>6</v>
      </c>
      <c r="I166" s="118"/>
      <c r="J166" s="117" t="s">
        <v>7</v>
      </c>
      <c r="K166" s="117" t="s">
        <v>8</v>
      </c>
      <c r="L166" s="117" t="s">
        <v>9</v>
      </c>
      <c r="M166" s="119" t="s">
        <v>10</v>
      </c>
      <c r="N166" s="117" t="s">
        <v>11</v>
      </c>
    </row>
    <row r="167" spans="1:14" x14ac:dyDescent="0.2">
      <c r="A167" s="120"/>
      <c r="B167" s="121"/>
      <c r="C167" s="122"/>
      <c r="D167" s="122"/>
      <c r="E167" s="122"/>
      <c r="F167" s="122"/>
      <c r="G167" s="101"/>
      <c r="H167" s="123"/>
      <c r="I167" s="123"/>
      <c r="J167" s="124"/>
      <c r="K167" s="125"/>
      <c r="L167" s="125"/>
      <c r="M167" s="125"/>
      <c r="N167" s="124">
        <f>+N160</f>
        <v>112211.65999999986</v>
      </c>
    </row>
    <row r="168" spans="1:14" ht="14.25" x14ac:dyDescent="0.2">
      <c r="A168" s="14">
        <v>43160</v>
      </c>
      <c r="B168" s="111">
        <v>1278</v>
      </c>
      <c r="C168" s="122"/>
      <c r="D168" s="122"/>
      <c r="E168" s="122"/>
      <c r="F168" s="122"/>
      <c r="G168" s="126" t="s">
        <v>188</v>
      </c>
      <c r="H168" s="123"/>
      <c r="I168" s="123"/>
      <c r="J168" s="190">
        <v>328</v>
      </c>
      <c r="K168" s="182">
        <f>+J168*0.32</f>
        <v>104.96000000000001</v>
      </c>
      <c r="L168" s="182">
        <f>+J168*0.68</f>
        <v>223.04000000000002</v>
      </c>
      <c r="M168" s="128"/>
      <c r="N168" s="129">
        <f>+L168-M168+N167</f>
        <v>112434.69999999985</v>
      </c>
    </row>
    <row r="169" spans="1:14" ht="14.25" x14ac:dyDescent="0.2">
      <c r="A169" s="14">
        <v>43161</v>
      </c>
      <c r="B169" s="111">
        <v>1278</v>
      </c>
      <c r="C169" s="122"/>
      <c r="D169" s="122"/>
      <c r="E169" s="122"/>
      <c r="F169" s="122"/>
      <c r="G169" s="126" t="s">
        <v>188</v>
      </c>
      <c r="H169" s="123"/>
      <c r="I169" s="123"/>
      <c r="J169" s="190">
        <v>144</v>
      </c>
      <c r="K169" s="182">
        <f t="shared" ref="K169:K206" si="7">+J169*0.32</f>
        <v>46.08</v>
      </c>
      <c r="L169" s="182">
        <f t="shared" ref="L169:L206" si="8">+J169*0.68</f>
        <v>97.92</v>
      </c>
      <c r="M169" s="128"/>
      <c r="N169" s="129">
        <f>+L169-M169+N168</f>
        <v>112532.61999999985</v>
      </c>
    </row>
    <row r="170" spans="1:14" ht="14.25" x14ac:dyDescent="0.2">
      <c r="A170" s="14">
        <v>43164</v>
      </c>
      <c r="B170" s="111">
        <v>1278</v>
      </c>
      <c r="C170" s="122"/>
      <c r="D170" s="122"/>
      <c r="E170" s="183"/>
      <c r="F170" s="183"/>
      <c r="G170" s="126" t="s">
        <v>188</v>
      </c>
      <c r="H170" s="123"/>
      <c r="I170" s="123"/>
      <c r="J170" s="191">
        <v>710</v>
      </c>
      <c r="K170" s="182">
        <f t="shared" si="7"/>
        <v>227.20000000000002</v>
      </c>
      <c r="L170" s="182">
        <f t="shared" si="8"/>
        <v>482.8</v>
      </c>
      <c r="M170" s="128"/>
      <c r="N170" s="129">
        <f>+L170-M170+N169</f>
        <v>113015.41999999985</v>
      </c>
    </row>
    <row r="171" spans="1:14" ht="14.25" x14ac:dyDescent="0.2">
      <c r="A171" s="14">
        <v>43165</v>
      </c>
      <c r="B171" s="111">
        <v>1278</v>
      </c>
      <c r="C171" s="122"/>
      <c r="D171" s="122"/>
      <c r="E171" s="122"/>
      <c r="F171" s="122"/>
      <c r="G171" s="126" t="s">
        <v>188</v>
      </c>
      <c r="H171" s="123"/>
      <c r="I171" s="123"/>
      <c r="J171" s="191">
        <v>20</v>
      </c>
      <c r="K171" s="182">
        <f t="shared" si="7"/>
        <v>6.4</v>
      </c>
      <c r="L171" s="182">
        <f t="shared" si="8"/>
        <v>13.600000000000001</v>
      </c>
      <c r="M171" s="128"/>
      <c r="N171" s="129">
        <f t="shared" ref="N171:N216" si="9">+L171-M171+N170</f>
        <v>113029.01999999986</v>
      </c>
    </row>
    <row r="172" spans="1:14" ht="14.25" x14ac:dyDescent="0.2">
      <c r="A172" s="14">
        <v>43166</v>
      </c>
      <c r="B172" s="111">
        <v>1278</v>
      </c>
      <c r="C172" s="122"/>
      <c r="D172" s="122"/>
      <c r="E172" s="122"/>
      <c r="F172" s="122"/>
      <c r="G172" s="126" t="s">
        <v>188</v>
      </c>
      <c r="H172" s="123"/>
      <c r="I172" s="123"/>
      <c r="J172" s="191">
        <v>358</v>
      </c>
      <c r="K172" s="182">
        <f t="shared" si="7"/>
        <v>114.56</v>
      </c>
      <c r="L172" s="182">
        <f t="shared" si="8"/>
        <v>243.44000000000003</v>
      </c>
      <c r="M172" s="128"/>
      <c r="N172" s="129">
        <f t="shared" si="9"/>
        <v>113272.45999999986</v>
      </c>
    </row>
    <row r="173" spans="1:14" ht="14.25" x14ac:dyDescent="0.2">
      <c r="A173" s="14">
        <v>43168</v>
      </c>
      <c r="B173" s="111">
        <v>1278</v>
      </c>
      <c r="C173" s="122"/>
      <c r="D173" s="122"/>
      <c r="E173" s="122"/>
      <c r="F173" s="122"/>
      <c r="G173" s="126" t="s">
        <v>188</v>
      </c>
      <c r="H173" s="123"/>
      <c r="I173" s="123"/>
      <c r="J173" s="191">
        <v>184</v>
      </c>
      <c r="K173" s="182">
        <f t="shared" si="7"/>
        <v>58.88</v>
      </c>
      <c r="L173" s="182">
        <f t="shared" si="8"/>
        <v>125.12</v>
      </c>
      <c r="M173" s="128"/>
      <c r="N173" s="129">
        <f t="shared" si="9"/>
        <v>113397.57999999986</v>
      </c>
    </row>
    <row r="174" spans="1:14" ht="14.25" x14ac:dyDescent="0.2">
      <c r="A174" s="14">
        <v>43172</v>
      </c>
      <c r="B174" s="111">
        <v>1278</v>
      </c>
      <c r="C174" s="122"/>
      <c r="D174" s="122"/>
      <c r="E174" s="122"/>
      <c r="F174" s="122"/>
      <c r="G174" s="126" t="s">
        <v>188</v>
      </c>
      <c r="H174" s="123"/>
      <c r="I174" s="123"/>
      <c r="J174" s="191">
        <v>434</v>
      </c>
      <c r="K174" s="182">
        <f t="shared" si="7"/>
        <v>138.88</v>
      </c>
      <c r="L174" s="182">
        <f t="shared" si="8"/>
        <v>295.12</v>
      </c>
      <c r="M174" s="128"/>
      <c r="N174" s="129">
        <f t="shared" si="9"/>
        <v>113692.69999999985</v>
      </c>
    </row>
    <row r="175" spans="1:14" ht="14.25" x14ac:dyDescent="0.2">
      <c r="A175" s="192">
        <v>43173</v>
      </c>
      <c r="B175" s="111">
        <v>1605</v>
      </c>
      <c r="C175" s="193" t="s">
        <v>189</v>
      </c>
      <c r="D175" s="122"/>
      <c r="E175" s="122"/>
      <c r="F175" s="122"/>
      <c r="G175" s="193" t="s">
        <v>190</v>
      </c>
      <c r="H175" s="123"/>
      <c r="I175" s="123"/>
      <c r="J175" s="194">
        <v>288</v>
      </c>
      <c r="K175" s="182">
        <f t="shared" si="7"/>
        <v>92.16</v>
      </c>
      <c r="L175" s="182">
        <f t="shared" si="8"/>
        <v>195.84</v>
      </c>
      <c r="M175" s="128"/>
      <c r="N175" s="129">
        <f t="shared" si="9"/>
        <v>113888.53999999985</v>
      </c>
    </row>
    <row r="176" spans="1:14" ht="14.25" x14ac:dyDescent="0.2">
      <c r="A176" s="192">
        <v>43174</v>
      </c>
      <c r="B176" s="111">
        <v>1605</v>
      </c>
      <c r="C176" s="193"/>
      <c r="D176" s="122"/>
      <c r="E176" s="122"/>
      <c r="F176" s="122"/>
      <c r="G176" s="193" t="s">
        <v>190</v>
      </c>
      <c r="H176" s="123"/>
      <c r="I176" s="123"/>
      <c r="J176" s="194">
        <v>616</v>
      </c>
      <c r="K176" s="182">
        <f t="shared" si="7"/>
        <v>197.12</v>
      </c>
      <c r="L176" s="182">
        <f t="shared" si="8"/>
        <v>418.88000000000005</v>
      </c>
      <c r="M176" s="128"/>
      <c r="N176" s="129">
        <f t="shared" si="9"/>
        <v>114307.41999999985</v>
      </c>
    </row>
    <row r="177" spans="1:14" ht="14.25" x14ac:dyDescent="0.2">
      <c r="A177" s="192">
        <v>43176</v>
      </c>
      <c r="B177" s="111">
        <v>1605</v>
      </c>
      <c r="C177" s="193"/>
      <c r="D177" s="135"/>
      <c r="E177" s="122"/>
      <c r="F177" s="122"/>
      <c r="G177" s="193" t="s">
        <v>190</v>
      </c>
      <c r="H177" s="136"/>
      <c r="I177" s="136"/>
      <c r="J177" s="194">
        <v>0</v>
      </c>
      <c r="K177" s="182">
        <f t="shared" si="7"/>
        <v>0</v>
      </c>
      <c r="L177" s="182">
        <f t="shared" si="8"/>
        <v>0</v>
      </c>
      <c r="M177" s="128"/>
      <c r="N177" s="129">
        <f t="shared" si="9"/>
        <v>114307.41999999985</v>
      </c>
    </row>
    <row r="178" spans="1:14" ht="14.25" x14ac:dyDescent="0.2">
      <c r="A178" s="192">
        <v>43178</v>
      </c>
      <c r="B178" s="111">
        <v>1605</v>
      </c>
      <c r="C178" s="193"/>
      <c r="D178" s="135"/>
      <c r="E178" s="122"/>
      <c r="F178" s="122"/>
      <c r="G178" s="193" t="s">
        <v>190</v>
      </c>
      <c r="H178" s="136"/>
      <c r="I178" s="136"/>
      <c r="J178" s="194">
        <v>398</v>
      </c>
      <c r="K178" s="182">
        <f t="shared" si="7"/>
        <v>127.36</v>
      </c>
      <c r="L178" s="182">
        <f t="shared" si="8"/>
        <v>270.64000000000004</v>
      </c>
      <c r="M178" s="128"/>
      <c r="N178" s="129">
        <f>+L178-M178+N177</f>
        <v>114578.05999999985</v>
      </c>
    </row>
    <row r="179" spans="1:14" ht="14.25" x14ac:dyDescent="0.2">
      <c r="A179" s="192">
        <v>43179</v>
      </c>
      <c r="B179" s="111">
        <v>1605</v>
      </c>
      <c r="C179" s="193"/>
      <c r="D179" s="135"/>
      <c r="E179" s="122"/>
      <c r="F179" s="122"/>
      <c r="G179" s="193" t="s">
        <v>190</v>
      </c>
      <c r="H179" s="136"/>
      <c r="I179" s="136"/>
      <c r="J179" s="194">
        <v>472</v>
      </c>
      <c r="K179" s="182">
        <f t="shared" si="7"/>
        <v>151.04</v>
      </c>
      <c r="L179" s="182">
        <f t="shared" si="8"/>
        <v>320.96000000000004</v>
      </c>
      <c r="M179" s="128"/>
      <c r="N179" s="129">
        <f t="shared" si="9"/>
        <v>114899.01999999986</v>
      </c>
    </row>
    <row r="180" spans="1:14" ht="14.25" x14ac:dyDescent="0.2">
      <c r="A180" s="192">
        <v>43180</v>
      </c>
      <c r="B180" s="111">
        <v>1605</v>
      </c>
      <c r="C180" s="193"/>
      <c r="D180" s="135"/>
      <c r="E180" s="122"/>
      <c r="F180" s="122"/>
      <c r="G180" s="193" t="s">
        <v>190</v>
      </c>
      <c r="H180" s="136"/>
      <c r="I180" s="136"/>
      <c r="J180" s="194">
        <v>650</v>
      </c>
      <c r="K180" s="182">
        <f t="shared" si="7"/>
        <v>208</v>
      </c>
      <c r="L180" s="182">
        <f t="shared" si="8"/>
        <v>442.00000000000006</v>
      </c>
      <c r="M180" s="128"/>
      <c r="N180" s="129">
        <f t="shared" si="9"/>
        <v>115341.01999999986</v>
      </c>
    </row>
    <row r="181" spans="1:14" ht="14.25" x14ac:dyDescent="0.2">
      <c r="A181" s="192">
        <v>43181</v>
      </c>
      <c r="B181" s="111">
        <v>1605</v>
      </c>
      <c r="C181" s="193"/>
      <c r="D181" s="122"/>
      <c r="E181" s="122"/>
      <c r="F181" s="122"/>
      <c r="G181" s="193" t="s">
        <v>190</v>
      </c>
      <c r="H181" s="123"/>
      <c r="I181" s="123"/>
      <c r="J181" s="194">
        <v>144</v>
      </c>
      <c r="K181" s="182">
        <f t="shared" si="7"/>
        <v>46.08</v>
      </c>
      <c r="L181" s="182">
        <f t="shared" si="8"/>
        <v>97.92</v>
      </c>
      <c r="M181" s="128"/>
      <c r="N181" s="129">
        <f t="shared" si="9"/>
        <v>115438.93999999986</v>
      </c>
    </row>
    <row r="182" spans="1:14" ht="14.25" x14ac:dyDescent="0.2">
      <c r="A182" s="192">
        <v>43182</v>
      </c>
      <c r="B182" s="111">
        <v>1605</v>
      </c>
      <c r="C182" s="193"/>
      <c r="D182" s="122"/>
      <c r="E182" s="122"/>
      <c r="F182" s="122"/>
      <c r="G182" s="193" t="s">
        <v>190</v>
      </c>
      <c r="H182" s="123"/>
      <c r="I182" s="123"/>
      <c r="J182" s="194">
        <v>328</v>
      </c>
      <c r="K182" s="182">
        <f t="shared" si="7"/>
        <v>104.96000000000001</v>
      </c>
      <c r="L182" s="182">
        <f t="shared" si="8"/>
        <v>223.04000000000002</v>
      </c>
      <c r="M182" s="128"/>
      <c r="N182" s="129">
        <f t="shared" si="9"/>
        <v>115661.97999999985</v>
      </c>
    </row>
    <row r="183" spans="1:14" ht="14.25" x14ac:dyDescent="0.2">
      <c r="A183" s="192">
        <v>43185</v>
      </c>
      <c r="B183" s="111">
        <v>1759</v>
      </c>
      <c r="C183" s="193"/>
      <c r="D183" s="122"/>
      <c r="E183" s="122"/>
      <c r="F183" s="122"/>
      <c r="G183" s="193" t="s">
        <v>191</v>
      </c>
      <c r="H183" s="123"/>
      <c r="I183" s="123"/>
      <c r="J183" s="191">
        <v>138</v>
      </c>
      <c r="K183" s="182">
        <f t="shared" si="7"/>
        <v>44.160000000000004</v>
      </c>
      <c r="L183" s="182">
        <f t="shared" si="8"/>
        <v>93.84</v>
      </c>
      <c r="M183" s="128"/>
      <c r="N183" s="129">
        <f t="shared" si="9"/>
        <v>115755.81999999985</v>
      </c>
    </row>
    <row r="184" spans="1:14" ht="14.25" x14ac:dyDescent="0.2">
      <c r="A184" s="192">
        <v>43186</v>
      </c>
      <c r="B184" s="111">
        <v>1759</v>
      </c>
      <c r="C184" s="193"/>
      <c r="D184" s="122"/>
      <c r="E184" s="122"/>
      <c r="F184" s="122"/>
      <c r="G184" s="193" t="s">
        <v>191</v>
      </c>
      <c r="H184" s="123"/>
      <c r="I184" s="123"/>
      <c r="J184" s="191">
        <v>472</v>
      </c>
      <c r="K184" s="182">
        <f t="shared" si="7"/>
        <v>151.04</v>
      </c>
      <c r="L184" s="182">
        <f t="shared" si="8"/>
        <v>320.96000000000004</v>
      </c>
      <c r="M184" s="128"/>
      <c r="N184" s="129">
        <f t="shared" si="9"/>
        <v>116076.77999999985</v>
      </c>
    </row>
    <row r="185" spans="1:14" ht="14.25" x14ac:dyDescent="0.2">
      <c r="A185" s="192">
        <v>43187</v>
      </c>
      <c r="B185" s="111">
        <v>1759</v>
      </c>
      <c r="C185" s="193"/>
      <c r="D185" s="122"/>
      <c r="E185" s="122"/>
      <c r="F185" s="122"/>
      <c r="G185" s="193" t="s">
        <v>191</v>
      </c>
      <c r="H185" s="123"/>
      <c r="I185" s="123"/>
      <c r="J185" s="191">
        <v>626</v>
      </c>
      <c r="K185" s="182">
        <f t="shared" si="7"/>
        <v>200.32</v>
      </c>
      <c r="L185" s="182">
        <f t="shared" si="8"/>
        <v>425.68</v>
      </c>
      <c r="M185" s="128"/>
      <c r="N185" s="129">
        <f t="shared" si="9"/>
        <v>116502.45999999985</v>
      </c>
    </row>
    <row r="186" spans="1:14" ht="14.25" x14ac:dyDescent="0.2">
      <c r="A186" s="192">
        <v>43190</v>
      </c>
      <c r="B186" s="111">
        <v>1759</v>
      </c>
      <c r="C186" s="193"/>
      <c r="D186" s="122"/>
      <c r="E186" s="122"/>
      <c r="F186" s="122"/>
      <c r="G186" s="193" t="s">
        <v>191</v>
      </c>
      <c r="H186" s="123"/>
      <c r="I186" s="123"/>
      <c r="J186" s="191">
        <v>190</v>
      </c>
      <c r="K186" s="182">
        <f t="shared" si="7"/>
        <v>60.800000000000004</v>
      </c>
      <c r="L186" s="182">
        <f t="shared" si="8"/>
        <v>129.20000000000002</v>
      </c>
      <c r="M186" s="128"/>
      <c r="N186" s="129">
        <f t="shared" si="9"/>
        <v>116631.65999999984</v>
      </c>
    </row>
    <row r="187" spans="1:14" ht="14.25" x14ac:dyDescent="0.2">
      <c r="A187" s="192"/>
      <c r="B187" s="111"/>
      <c r="C187" s="193"/>
      <c r="D187" s="122"/>
      <c r="E187" s="122"/>
      <c r="F187" s="122"/>
      <c r="G187" s="193"/>
      <c r="H187" s="123"/>
      <c r="I187" s="123"/>
      <c r="J187" s="191"/>
      <c r="K187" s="182">
        <f t="shared" si="7"/>
        <v>0</v>
      </c>
      <c r="L187" s="182">
        <f t="shared" si="8"/>
        <v>0</v>
      </c>
      <c r="M187" s="128"/>
      <c r="N187" s="129">
        <f t="shared" si="9"/>
        <v>116631.65999999984</v>
      </c>
    </row>
    <row r="188" spans="1:14" ht="14.25" x14ac:dyDescent="0.2">
      <c r="A188" s="192">
        <v>43160</v>
      </c>
      <c r="B188" s="111"/>
      <c r="C188" s="193"/>
      <c r="D188" s="122"/>
      <c r="E188" s="122"/>
      <c r="F188" s="122"/>
      <c r="G188" s="193"/>
      <c r="H188" s="123"/>
      <c r="I188" s="123"/>
      <c r="J188" s="191">
        <v>308</v>
      </c>
      <c r="K188" s="182">
        <f t="shared" si="7"/>
        <v>98.56</v>
      </c>
      <c r="L188" s="182">
        <f t="shared" si="8"/>
        <v>209.44000000000003</v>
      </c>
      <c r="M188" s="128"/>
      <c r="N188" s="129">
        <f t="shared" si="9"/>
        <v>116841.09999999985</v>
      </c>
    </row>
    <row r="189" spans="1:14" ht="14.25" x14ac:dyDescent="0.2">
      <c r="A189" s="192">
        <v>43161</v>
      </c>
      <c r="B189" s="111"/>
      <c r="C189" s="193"/>
      <c r="D189" s="122"/>
      <c r="E189" s="122"/>
      <c r="F189" s="122"/>
      <c r="G189" s="193"/>
      <c r="H189" s="123"/>
      <c r="I189" s="123"/>
      <c r="J189" s="191">
        <v>308</v>
      </c>
      <c r="K189" s="182">
        <f t="shared" si="7"/>
        <v>98.56</v>
      </c>
      <c r="L189" s="182">
        <f t="shared" si="8"/>
        <v>209.44000000000003</v>
      </c>
      <c r="M189" s="128"/>
      <c r="N189" s="129">
        <f t="shared" si="9"/>
        <v>117050.53999999985</v>
      </c>
    </row>
    <row r="190" spans="1:14" ht="14.25" x14ac:dyDescent="0.2">
      <c r="A190" s="192">
        <v>43162</v>
      </c>
      <c r="B190" s="111"/>
      <c r="C190" s="193"/>
      <c r="D190" s="122"/>
      <c r="E190" s="122"/>
      <c r="F190" s="122"/>
      <c r="G190" s="193"/>
      <c r="H190" s="123"/>
      <c r="I190" s="123"/>
      <c r="J190" s="191">
        <v>144</v>
      </c>
      <c r="K190" s="182">
        <f t="shared" si="7"/>
        <v>46.08</v>
      </c>
      <c r="L190" s="182">
        <f t="shared" si="8"/>
        <v>97.92</v>
      </c>
      <c r="M190" s="128"/>
      <c r="N190" s="129">
        <f t="shared" si="9"/>
        <v>117148.45999999985</v>
      </c>
    </row>
    <row r="191" spans="1:14" ht="14.25" x14ac:dyDescent="0.2">
      <c r="A191" s="192">
        <v>43529</v>
      </c>
      <c r="B191" s="111"/>
      <c r="C191" s="193"/>
      <c r="D191" s="122"/>
      <c r="E191" s="122"/>
      <c r="F191" s="122"/>
      <c r="G191" s="193"/>
      <c r="H191" s="123"/>
      <c r="I191" s="123"/>
      <c r="J191" s="191">
        <v>334</v>
      </c>
      <c r="K191" s="182">
        <f t="shared" si="7"/>
        <v>106.88</v>
      </c>
      <c r="L191" s="182">
        <f t="shared" si="8"/>
        <v>227.12</v>
      </c>
      <c r="M191" s="128"/>
      <c r="N191" s="129">
        <f t="shared" si="9"/>
        <v>117375.57999999984</v>
      </c>
    </row>
    <row r="192" spans="1:14" ht="14.25" x14ac:dyDescent="0.2">
      <c r="A192" s="192">
        <v>43530</v>
      </c>
      <c r="B192" s="111"/>
      <c r="C192" s="193"/>
      <c r="D192" s="122"/>
      <c r="E192" s="122"/>
      <c r="F192" s="122"/>
      <c r="G192" s="193"/>
      <c r="H192" s="123"/>
      <c r="I192" s="123"/>
      <c r="J192" s="191">
        <v>452</v>
      </c>
      <c r="K192" s="182">
        <f t="shared" si="7"/>
        <v>144.64000000000001</v>
      </c>
      <c r="L192" s="182">
        <f t="shared" si="8"/>
        <v>307.36</v>
      </c>
      <c r="M192" s="128"/>
      <c r="N192" s="129">
        <f t="shared" si="9"/>
        <v>117682.93999999984</v>
      </c>
    </row>
    <row r="193" spans="1:14" ht="14.25" x14ac:dyDescent="0.2">
      <c r="A193" s="192">
        <v>43166</v>
      </c>
      <c r="B193" s="111"/>
      <c r="C193" s="193"/>
      <c r="D193" s="122"/>
      <c r="E193" s="122"/>
      <c r="F193" s="122"/>
      <c r="G193" s="193"/>
      <c r="H193" s="123"/>
      <c r="I193" s="123"/>
      <c r="J193" s="191">
        <v>622</v>
      </c>
      <c r="K193" s="182">
        <f t="shared" si="7"/>
        <v>199.04</v>
      </c>
      <c r="L193" s="182">
        <f t="shared" si="8"/>
        <v>422.96000000000004</v>
      </c>
      <c r="M193" s="128"/>
      <c r="N193" s="129">
        <f t="shared" si="9"/>
        <v>118105.89999999985</v>
      </c>
    </row>
    <row r="194" spans="1:14" ht="14.25" x14ac:dyDescent="0.2">
      <c r="A194" s="192">
        <v>43167</v>
      </c>
      <c r="B194" s="111"/>
      <c r="C194" s="193"/>
      <c r="D194" s="122"/>
      <c r="E194" s="122"/>
      <c r="F194" s="122"/>
      <c r="G194" s="193"/>
      <c r="H194" s="123"/>
      <c r="I194" s="123"/>
      <c r="J194" s="191">
        <v>452</v>
      </c>
      <c r="K194" s="182">
        <f t="shared" si="7"/>
        <v>144.64000000000001</v>
      </c>
      <c r="L194" s="182">
        <f t="shared" si="8"/>
        <v>307.36</v>
      </c>
      <c r="M194" s="128"/>
      <c r="N194" s="129">
        <f t="shared" si="9"/>
        <v>118413.25999999985</v>
      </c>
    </row>
    <row r="195" spans="1:14" ht="14.25" x14ac:dyDescent="0.2">
      <c r="A195" s="192">
        <v>43533</v>
      </c>
      <c r="B195" s="111"/>
      <c r="C195" s="193"/>
      <c r="D195" s="122"/>
      <c r="E195" s="122"/>
      <c r="F195" s="122"/>
      <c r="G195" s="193"/>
      <c r="H195" s="123"/>
      <c r="I195" s="123"/>
      <c r="J195" s="191">
        <v>402</v>
      </c>
      <c r="K195" s="182">
        <f t="shared" si="7"/>
        <v>128.64000000000001</v>
      </c>
      <c r="L195" s="182">
        <f t="shared" si="8"/>
        <v>273.36</v>
      </c>
      <c r="M195" s="128"/>
      <c r="N195" s="129">
        <f t="shared" si="9"/>
        <v>118686.61999999985</v>
      </c>
    </row>
    <row r="196" spans="1:14" ht="14.25" x14ac:dyDescent="0.2">
      <c r="A196" s="192">
        <v>43534</v>
      </c>
      <c r="B196" s="111"/>
      <c r="C196" s="193"/>
      <c r="D196" s="122"/>
      <c r="E196" s="122"/>
      <c r="F196" s="122"/>
      <c r="G196" s="193"/>
      <c r="H196" s="123"/>
      <c r="I196" s="123"/>
      <c r="J196" s="191">
        <v>300</v>
      </c>
      <c r="K196" s="182">
        <f t="shared" si="7"/>
        <v>96</v>
      </c>
      <c r="L196" s="182">
        <f t="shared" si="8"/>
        <v>204.00000000000003</v>
      </c>
      <c r="M196" s="128"/>
      <c r="N196" s="129">
        <f t="shared" si="9"/>
        <v>118890.61999999985</v>
      </c>
    </row>
    <row r="197" spans="1:14" ht="14.25" x14ac:dyDescent="0.2">
      <c r="A197" s="192">
        <v>43171</v>
      </c>
      <c r="B197" s="111"/>
      <c r="C197" s="193"/>
      <c r="D197" s="122"/>
      <c r="E197" s="122"/>
      <c r="F197" s="122"/>
      <c r="G197" s="193"/>
      <c r="H197" s="123"/>
      <c r="I197" s="123"/>
      <c r="J197" s="191">
        <v>288</v>
      </c>
      <c r="K197" s="182">
        <f t="shared" si="7"/>
        <v>92.16</v>
      </c>
      <c r="L197" s="182">
        <f t="shared" si="8"/>
        <v>195.84</v>
      </c>
      <c r="M197" s="128"/>
      <c r="N197" s="129">
        <f t="shared" si="9"/>
        <v>119086.45999999985</v>
      </c>
    </row>
    <row r="198" spans="1:14" ht="14.25" x14ac:dyDescent="0.2">
      <c r="A198" s="192">
        <v>43537</v>
      </c>
      <c r="B198" s="111"/>
      <c r="C198" s="193"/>
      <c r="D198" s="122"/>
      <c r="E198" s="122"/>
      <c r="F198" s="122"/>
      <c r="G198" s="193"/>
      <c r="H198" s="123"/>
      <c r="I198" s="123"/>
      <c r="J198" s="191">
        <v>308</v>
      </c>
      <c r="K198" s="182">
        <f t="shared" si="7"/>
        <v>98.56</v>
      </c>
      <c r="L198" s="182">
        <f t="shared" si="8"/>
        <v>209.44000000000003</v>
      </c>
      <c r="M198" s="128"/>
      <c r="N198" s="129">
        <f t="shared" si="9"/>
        <v>119295.89999999985</v>
      </c>
    </row>
    <row r="199" spans="1:14" ht="14.25" x14ac:dyDescent="0.2">
      <c r="A199" s="192">
        <v>43173</v>
      </c>
      <c r="B199" s="111"/>
      <c r="C199" s="193"/>
      <c r="D199" s="122"/>
      <c r="E199" s="122"/>
      <c r="F199" s="122"/>
      <c r="G199" s="193"/>
      <c r="H199" s="123"/>
      <c r="I199" s="123"/>
      <c r="J199" s="191">
        <v>724</v>
      </c>
      <c r="K199" s="182">
        <f t="shared" si="7"/>
        <v>231.68</v>
      </c>
      <c r="L199" s="182">
        <f t="shared" si="8"/>
        <v>492.32000000000005</v>
      </c>
      <c r="M199" s="128"/>
      <c r="N199" s="129">
        <f t="shared" si="9"/>
        <v>119788.21999999986</v>
      </c>
    </row>
    <row r="200" spans="1:14" ht="14.25" x14ac:dyDescent="0.2">
      <c r="A200" s="192">
        <v>43539</v>
      </c>
      <c r="B200" s="111"/>
      <c r="C200" s="193"/>
      <c r="D200" s="122"/>
      <c r="E200" s="122"/>
      <c r="F200" s="122"/>
      <c r="G200" s="193"/>
      <c r="H200" s="123"/>
      <c r="I200" s="123"/>
      <c r="J200" s="191">
        <v>308</v>
      </c>
      <c r="K200" s="182">
        <f t="shared" si="7"/>
        <v>98.56</v>
      </c>
      <c r="L200" s="182">
        <f t="shared" si="8"/>
        <v>209.44000000000003</v>
      </c>
      <c r="M200" s="128"/>
      <c r="N200" s="129">
        <f t="shared" si="9"/>
        <v>119997.65999999986</v>
      </c>
    </row>
    <row r="201" spans="1:14" ht="14.25" x14ac:dyDescent="0.2">
      <c r="A201" s="192">
        <v>43543</v>
      </c>
      <c r="B201" s="111"/>
      <c r="C201" s="193"/>
      <c r="D201" s="122"/>
      <c r="E201" s="122"/>
      <c r="F201" s="122"/>
      <c r="G201" s="193"/>
      <c r="H201" s="123"/>
      <c r="I201" s="123"/>
      <c r="J201" s="191">
        <v>566</v>
      </c>
      <c r="K201" s="182">
        <f t="shared" si="7"/>
        <v>181.12</v>
      </c>
      <c r="L201" s="182">
        <f t="shared" si="8"/>
        <v>384.88000000000005</v>
      </c>
      <c r="M201" s="128"/>
      <c r="N201" s="129">
        <f t="shared" si="9"/>
        <v>120382.53999999986</v>
      </c>
    </row>
    <row r="202" spans="1:14" ht="14.25" x14ac:dyDescent="0.2">
      <c r="A202" s="192">
        <v>43179</v>
      </c>
      <c r="B202" s="111"/>
      <c r="C202" s="193"/>
      <c r="D202" s="122"/>
      <c r="E202" s="122"/>
      <c r="F202" s="122"/>
      <c r="G202" s="193"/>
      <c r="H202" s="123"/>
      <c r="I202" s="123"/>
      <c r="J202" s="191">
        <v>816</v>
      </c>
      <c r="K202" s="182">
        <f t="shared" si="7"/>
        <v>261.12</v>
      </c>
      <c r="L202" s="182">
        <f t="shared" si="8"/>
        <v>554.88</v>
      </c>
      <c r="M202" s="128"/>
      <c r="N202" s="129">
        <f t="shared" si="9"/>
        <v>120937.41999999987</v>
      </c>
    </row>
    <row r="203" spans="1:14" ht="14.25" x14ac:dyDescent="0.2">
      <c r="A203" s="192">
        <v>43545</v>
      </c>
      <c r="B203" s="111"/>
      <c r="C203" s="193"/>
      <c r="D203" s="122"/>
      <c r="E203" s="122"/>
      <c r="F203" s="122"/>
      <c r="G203" s="193"/>
      <c r="H203" s="123"/>
      <c r="I203" s="123"/>
      <c r="J203" s="191">
        <v>518</v>
      </c>
      <c r="K203" s="182">
        <f t="shared" si="7"/>
        <v>165.76</v>
      </c>
      <c r="L203" s="182">
        <f t="shared" si="8"/>
        <v>352.24</v>
      </c>
      <c r="M203" s="128"/>
      <c r="N203" s="129">
        <f t="shared" si="9"/>
        <v>121289.65999999987</v>
      </c>
    </row>
    <row r="204" spans="1:14" ht="14.25" x14ac:dyDescent="0.2">
      <c r="A204" s="192">
        <v>43547</v>
      </c>
      <c r="B204" s="111"/>
      <c r="C204" s="193"/>
      <c r="D204" s="122"/>
      <c r="E204" s="122"/>
      <c r="F204" s="122"/>
      <c r="G204" s="193"/>
      <c r="H204" s="123"/>
      <c r="I204" s="123"/>
      <c r="J204" s="191">
        <v>492</v>
      </c>
      <c r="K204" s="182">
        <f t="shared" si="7"/>
        <v>157.44</v>
      </c>
      <c r="L204" s="182">
        <f t="shared" si="8"/>
        <v>334.56</v>
      </c>
      <c r="M204" s="128"/>
      <c r="N204" s="129">
        <f t="shared" si="9"/>
        <v>121624.21999999987</v>
      </c>
    </row>
    <row r="205" spans="1:14" ht="14.25" x14ac:dyDescent="0.2">
      <c r="A205" s="192">
        <v>43551</v>
      </c>
      <c r="B205" s="111"/>
      <c r="C205" s="193"/>
      <c r="D205" s="122"/>
      <c r="E205" s="122"/>
      <c r="F205" s="122"/>
      <c r="G205" s="193"/>
      <c r="H205" s="123"/>
      <c r="I205" s="123"/>
      <c r="J205" s="191">
        <v>472</v>
      </c>
      <c r="K205" s="182">
        <f t="shared" si="7"/>
        <v>151.04</v>
      </c>
      <c r="L205" s="182">
        <f t="shared" si="8"/>
        <v>320.96000000000004</v>
      </c>
      <c r="M205" s="128"/>
      <c r="N205" s="129">
        <f t="shared" si="9"/>
        <v>121945.17999999988</v>
      </c>
    </row>
    <row r="206" spans="1:14" ht="14.25" x14ac:dyDescent="0.2">
      <c r="A206" s="192">
        <v>43552</v>
      </c>
      <c r="B206" s="111"/>
      <c r="C206" s="193"/>
      <c r="D206" s="122"/>
      <c r="E206" s="122"/>
      <c r="F206" s="122"/>
      <c r="G206" s="193"/>
      <c r="H206" s="123"/>
      <c r="I206" s="123"/>
      <c r="J206" s="191">
        <v>164</v>
      </c>
      <c r="K206" s="182">
        <f t="shared" si="7"/>
        <v>52.480000000000004</v>
      </c>
      <c r="L206" s="182">
        <f t="shared" si="8"/>
        <v>111.52000000000001</v>
      </c>
      <c r="M206" s="128"/>
      <c r="N206" s="129">
        <f t="shared" si="9"/>
        <v>122056.69999999988</v>
      </c>
    </row>
    <row r="207" spans="1:14" ht="14.25" x14ac:dyDescent="0.2">
      <c r="A207" s="192"/>
      <c r="B207" s="111"/>
      <c r="C207" s="193"/>
      <c r="D207" s="122"/>
      <c r="E207" s="122"/>
      <c r="F207" s="122"/>
      <c r="G207" s="193"/>
      <c r="H207" s="123"/>
      <c r="I207" s="123"/>
      <c r="J207" s="191"/>
      <c r="K207" s="182"/>
      <c r="L207" s="182"/>
      <c r="M207" s="128"/>
      <c r="N207" s="129">
        <f t="shared" si="9"/>
        <v>122056.69999999988</v>
      </c>
    </row>
    <row r="208" spans="1:14" ht="14.25" x14ac:dyDescent="0.2">
      <c r="A208" s="192"/>
      <c r="B208" s="111"/>
      <c r="C208" s="193"/>
      <c r="D208" s="122"/>
      <c r="E208" s="122"/>
      <c r="F208" s="122"/>
      <c r="G208" s="193"/>
      <c r="H208" s="123"/>
      <c r="I208" s="123"/>
      <c r="J208" s="191"/>
      <c r="K208" s="182"/>
      <c r="L208" s="182"/>
      <c r="M208" s="128"/>
      <c r="N208" s="129">
        <f t="shared" si="9"/>
        <v>122056.69999999988</v>
      </c>
    </row>
    <row r="209" spans="1:14" x14ac:dyDescent="0.2">
      <c r="A209" s="10"/>
      <c r="B209" s="11"/>
      <c r="C209" s="122"/>
      <c r="D209" s="122"/>
      <c r="E209" s="122"/>
      <c r="F209" s="122"/>
      <c r="G209" s="126"/>
      <c r="H209" s="123"/>
      <c r="I209" s="123"/>
      <c r="J209" s="135"/>
      <c r="K209" s="128"/>
      <c r="L209" s="128"/>
      <c r="M209" s="128"/>
      <c r="N209" s="129">
        <f t="shared" si="9"/>
        <v>122056.69999999988</v>
      </c>
    </row>
    <row r="210" spans="1:14" ht="15" x14ac:dyDescent="0.25">
      <c r="A210" s="533" t="s">
        <v>192</v>
      </c>
      <c r="B210" s="534"/>
      <c r="C210" s="534"/>
      <c r="D210" s="534"/>
      <c r="E210" s="534"/>
      <c r="F210" s="534"/>
      <c r="G210" s="534"/>
      <c r="H210" s="534"/>
      <c r="I210" s="534"/>
      <c r="J210" s="534"/>
      <c r="K210" s="534"/>
      <c r="L210" s="534"/>
      <c r="M210" s="534"/>
      <c r="N210" s="129">
        <f t="shared" si="9"/>
        <v>122056.69999999988</v>
      </c>
    </row>
    <row r="211" spans="1:14" x14ac:dyDescent="0.2">
      <c r="A211" s="131">
        <v>43194</v>
      </c>
      <c r="B211" s="195"/>
      <c r="C211" s="152" t="s">
        <v>193</v>
      </c>
      <c r="D211" s="195"/>
      <c r="E211" s="122"/>
      <c r="F211" s="122" t="s">
        <v>194</v>
      </c>
      <c r="G211" s="133" t="s">
        <v>195</v>
      </c>
      <c r="H211" s="123"/>
      <c r="I211" s="123"/>
      <c r="J211" s="127"/>
      <c r="K211" s="128"/>
      <c r="L211" s="128"/>
      <c r="M211" s="128">
        <v>250</v>
      </c>
      <c r="N211" s="129">
        <f t="shared" si="9"/>
        <v>121806.69999999988</v>
      </c>
    </row>
    <row r="212" spans="1:14" x14ac:dyDescent="0.2">
      <c r="A212" s="185"/>
      <c r="B212" s="196" t="s">
        <v>196</v>
      </c>
      <c r="C212" s="122"/>
      <c r="D212" s="122"/>
      <c r="E212" s="122"/>
      <c r="F212" s="146" t="s">
        <v>197</v>
      </c>
      <c r="G212" s="325" t="s">
        <v>524</v>
      </c>
      <c r="H212" s="148"/>
      <c r="I212" s="148"/>
      <c r="J212" s="127"/>
      <c r="K212" s="128"/>
      <c r="L212" s="128"/>
      <c r="M212" s="149">
        <v>7901.87</v>
      </c>
      <c r="N212" s="129">
        <f t="shared" si="9"/>
        <v>113904.82999999989</v>
      </c>
    </row>
    <row r="213" spans="1:14" x14ac:dyDescent="0.2">
      <c r="A213" s="185">
        <v>43213</v>
      </c>
      <c r="B213" s="151" t="s">
        <v>199</v>
      </c>
      <c r="C213" s="152"/>
      <c r="D213" s="186" t="s">
        <v>200</v>
      </c>
      <c r="E213" s="122"/>
      <c r="F213" s="146" t="s">
        <v>201</v>
      </c>
      <c r="G213" s="147" t="s">
        <v>202</v>
      </c>
      <c r="H213" s="148"/>
      <c r="I213" s="148"/>
      <c r="J213" s="127"/>
      <c r="K213" s="128"/>
      <c r="L213" s="128"/>
      <c r="M213" s="149">
        <v>1700</v>
      </c>
      <c r="N213" s="129">
        <f t="shared" si="9"/>
        <v>112204.82999999989</v>
      </c>
    </row>
    <row r="214" spans="1:14" x14ac:dyDescent="0.2">
      <c r="A214" s="185"/>
      <c r="B214" s="151" t="s">
        <v>203</v>
      </c>
      <c r="C214" s="152"/>
      <c r="D214" s="186" t="s">
        <v>204</v>
      </c>
      <c r="E214" s="122"/>
      <c r="F214" s="146"/>
      <c r="G214" s="147" t="s">
        <v>205</v>
      </c>
      <c r="H214" s="148"/>
      <c r="I214" s="148"/>
      <c r="J214" s="127"/>
      <c r="K214" s="128"/>
      <c r="L214" s="128"/>
      <c r="M214" s="149">
        <v>950</v>
      </c>
      <c r="N214" s="129">
        <f t="shared" si="9"/>
        <v>111254.82999999989</v>
      </c>
    </row>
    <row r="215" spans="1:14" s="150" customFormat="1" x14ac:dyDescent="0.2">
      <c r="A215" s="185"/>
      <c r="B215" s="151" t="s">
        <v>206</v>
      </c>
      <c r="C215" s="152"/>
      <c r="D215" s="156" t="s">
        <v>207</v>
      </c>
      <c r="E215" s="147"/>
      <c r="F215" s="148"/>
      <c r="G215" s="147" t="s">
        <v>208</v>
      </c>
      <c r="H215" s="148"/>
      <c r="I215" s="148"/>
      <c r="J215" s="128"/>
      <c r="K215" s="197"/>
      <c r="L215" s="146"/>
      <c r="M215" s="149">
        <v>850</v>
      </c>
      <c r="N215" s="129">
        <f t="shared" si="9"/>
        <v>110404.82999999989</v>
      </c>
    </row>
    <row r="216" spans="1:14" ht="13.5" thickBot="1" x14ac:dyDescent="0.25">
      <c r="A216" s="185"/>
      <c r="B216" s="132"/>
      <c r="C216" s="122"/>
      <c r="D216" s="146"/>
      <c r="E216" s="147"/>
      <c r="F216" s="148"/>
      <c r="G216" s="133"/>
      <c r="H216" s="123"/>
      <c r="I216" s="123"/>
      <c r="J216" s="128"/>
      <c r="K216" s="197"/>
      <c r="L216" s="146"/>
      <c r="M216" s="198"/>
      <c r="N216" s="129">
        <f t="shared" si="9"/>
        <v>110404.82999999989</v>
      </c>
    </row>
    <row r="217" spans="1:14" ht="13.5" thickBot="1" x14ac:dyDescent="0.25">
      <c r="A217" s="115"/>
      <c r="B217" s="116"/>
      <c r="C217" s="117"/>
      <c r="D217" s="117"/>
      <c r="E217" s="157"/>
      <c r="F217" s="158"/>
      <c r="G217" s="159"/>
      <c r="H217" s="199" t="s">
        <v>209</v>
      </c>
      <c r="I217" s="326"/>
      <c r="J217" s="161">
        <f>SUM(J168:J216)</f>
        <v>14478</v>
      </c>
      <c r="K217" s="162">
        <f>SUM(K167:K216)</f>
        <v>4632.9599999999982</v>
      </c>
      <c r="L217" s="163">
        <f>SUM(L167:L216)</f>
        <v>9845.0399999999972</v>
      </c>
      <c r="M217" s="164">
        <f>SUM(M211:M216)</f>
        <v>11651.869999999999</v>
      </c>
      <c r="N217" s="165"/>
    </row>
    <row r="218" spans="1:14" ht="13.5" thickBot="1" x14ac:dyDescent="0.25">
      <c r="A218" s="166"/>
      <c r="C218" s="168"/>
      <c r="D218" s="168"/>
      <c r="E218" s="169"/>
      <c r="F218" s="170"/>
      <c r="G218" s="171"/>
      <c r="H218" s="200" t="s">
        <v>13</v>
      </c>
      <c r="I218" s="171"/>
      <c r="J218" s="189"/>
      <c r="K218" s="188"/>
      <c r="L218" s="180"/>
      <c r="M218" s="180"/>
      <c r="N218" s="175">
        <f>+L217-M217+N167</f>
        <v>110404.82999999986</v>
      </c>
    </row>
    <row r="219" spans="1:14" x14ac:dyDescent="0.2">
      <c r="A219" s="166"/>
      <c r="C219" s="168"/>
      <c r="D219" s="168"/>
      <c r="E219" s="169"/>
      <c r="F219" s="170"/>
      <c r="G219" s="171"/>
      <c r="H219" s="171"/>
      <c r="I219" s="171"/>
      <c r="J219" s="189"/>
      <c r="K219" s="188"/>
      <c r="L219" s="180"/>
      <c r="M219" s="180"/>
      <c r="N219" s="189"/>
    </row>
    <row r="220" spans="1:14" x14ac:dyDescent="0.2">
      <c r="A220" s="166"/>
      <c r="C220" s="168"/>
      <c r="D220" s="168"/>
      <c r="E220" s="169"/>
      <c r="F220" s="170"/>
      <c r="G220" s="171"/>
      <c r="H220" s="171"/>
      <c r="I220" s="171"/>
      <c r="J220" s="189"/>
      <c r="K220" s="188"/>
      <c r="L220" s="180"/>
      <c r="M220" s="180"/>
      <c r="N220" s="189"/>
    </row>
    <row r="221" spans="1:14" x14ac:dyDescent="0.2">
      <c r="A221" s="527" t="s">
        <v>95</v>
      </c>
      <c r="B221" s="528"/>
      <c r="C221" s="528"/>
      <c r="D221" s="528"/>
      <c r="E221" s="528"/>
      <c r="F221" s="528"/>
      <c r="G221" s="528"/>
      <c r="H221" s="528"/>
      <c r="I221" s="528"/>
      <c r="J221" s="528"/>
      <c r="K221" s="528"/>
      <c r="L221" s="528"/>
      <c r="M221" s="528"/>
      <c r="N221" s="529"/>
    </row>
    <row r="222" spans="1:14" x14ac:dyDescent="0.2">
      <c r="A222" s="530"/>
      <c r="B222" s="531"/>
      <c r="C222" s="531"/>
      <c r="D222" s="531"/>
      <c r="E222" s="531"/>
      <c r="F222" s="531"/>
      <c r="G222" s="531"/>
      <c r="H222" s="531"/>
      <c r="I222" s="531"/>
      <c r="J222" s="531"/>
      <c r="K222" s="531"/>
      <c r="L222" s="531"/>
      <c r="M222" s="531"/>
      <c r="N222" s="532"/>
    </row>
    <row r="223" spans="1:14" ht="15" x14ac:dyDescent="0.25">
      <c r="A223" s="533" t="s">
        <v>210</v>
      </c>
      <c r="B223" s="534"/>
      <c r="C223" s="534"/>
      <c r="D223" s="534"/>
      <c r="E223" s="534"/>
      <c r="F223" s="534"/>
      <c r="G223" s="534"/>
      <c r="H223" s="534"/>
      <c r="I223" s="534"/>
      <c r="J223" s="534"/>
      <c r="K223" s="534"/>
      <c r="L223" s="534"/>
      <c r="M223" s="534"/>
      <c r="N223" s="534"/>
    </row>
    <row r="224" spans="1:14" x14ac:dyDescent="0.2">
      <c r="A224" s="115" t="s">
        <v>1</v>
      </c>
      <c r="B224" s="116" t="s">
        <v>2</v>
      </c>
      <c r="C224" s="117" t="s">
        <v>3</v>
      </c>
      <c r="D224" s="117" t="s">
        <v>4</v>
      </c>
      <c r="E224" s="117" t="s">
        <v>96</v>
      </c>
      <c r="F224" s="117" t="s">
        <v>5</v>
      </c>
      <c r="G224" s="118" t="s">
        <v>97</v>
      </c>
      <c r="H224" s="118" t="s">
        <v>6</v>
      </c>
      <c r="I224" s="118"/>
      <c r="J224" s="117" t="s">
        <v>7</v>
      </c>
      <c r="K224" s="117" t="s">
        <v>8</v>
      </c>
      <c r="L224" s="117" t="s">
        <v>9</v>
      </c>
      <c r="M224" s="119" t="s">
        <v>10</v>
      </c>
      <c r="N224" s="117" t="s">
        <v>11</v>
      </c>
    </row>
    <row r="225" spans="1:14" x14ac:dyDescent="0.2">
      <c r="A225" s="120"/>
      <c r="B225" s="121"/>
      <c r="C225" s="122"/>
      <c r="D225" s="122"/>
      <c r="E225" s="122"/>
      <c r="F225" s="122"/>
      <c r="G225" s="101"/>
      <c r="H225" s="123"/>
      <c r="I225" s="123"/>
      <c r="J225" s="124"/>
      <c r="K225" s="125"/>
      <c r="L225" s="125"/>
      <c r="M225" s="125"/>
      <c r="N225" s="124">
        <f>+N218</f>
        <v>110404.82999999986</v>
      </c>
    </row>
    <row r="226" spans="1:14" ht="14.25" x14ac:dyDescent="0.2">
      <c r="A226" s="201">
        <v>43192</v>
      </c>
      <c r="B226" s="184" t="s">
        <v>211</v>
      </c>
      <c r="C226" s="126"/>
      <c r="D226" s="122"/>
      <c r="E226" s="122"/>
      <c r="F226" s="122"/>
      <c r="G226" s="126" t="s">
        <v>212</v>
      </c>
      <c r="H226" s="122"/>
      <c r="I226" s="122"/>
      <c r="J226" s="202">
        <v>328</v>
      </c>
      <c r="K226" s="182">
        <f>+J226*0.32</f>
        <v>104.96000000000001</v>
      </c>
      <c r="L226" s="182">
        <f>+J226*0.68</f>
        <v>223.04000000000002</v>
      </c>
      <c r="M226" s="128"/>
      <c r="N226" s="129">
        <f>+L226-M226+N225</f>
        <v>110627.86999999985</v>
      </c>
    </row>
    <row r="227" spans="1:14" ht="14.25" x14ac:dyDescent="0.2">
      <c r="A227" s="201">
        <v>43193</v>
      </c>
      <c r="B227" s="184" t="s">
        <v>211</v>
      </c>
      <c r="C227" s="126"/>
      <c r="D227" s="122"/>
      <c r="E227" s="122"/>
      <c r="F227" s="122"/>
      <c r="G227" s="126" t="s">
        <v>212</v>
      </c>
      <c r="H227" s="122"/>
      <c r="I227" s="122"/>
      <c r="J227" s="202">
        <v>988.5</v>
      </c>
      <c r="K227" s="182">
        <f t="shared" ref="K227:K267" si="10">+J227*0.32</f>
        <v>316.32</v>
      </c>
      <c r="L227" s="182">
        <f t="shared" ref="L227:L266" si="11">+J227*0.68</f>
        <v>672.18000000000006</v>
      </c>
      <c r="M227" s="128"/>
      <c r="N227" s="129">
        <f>+L227-M227+N226</f>
        <v>111300.04999999984</v>
      </c>
    </row>
    <row r="228" spans="1:14" ht="14.25" x14ac:dyDescent="0.2">
      <c r="A228" s="201">
        <v>43194</v>
      </c>
      <c r="B228" s="184" t="s">
        <v>211</v>
      </c>
      <c r="C228" s="126"/>
      <c r="D228" s="122"/>
      <c r="E228" s="183"/>
      <c r="F228" s="183"/>
      <c r="G228" s="126" t="s">
        <v>212</v>
      </c>
      <c r="H228" s="122"/>
      <c r="I228" s="122"/>
      <c r="J228" s="202">
        <v>288</v>
      </c>
      <c r="K228" s="182">
        <f t="shared" si="10"/>
        <v>92.16</v>
      </c>
      <c r="L228" s="182">
        <f t="shared" si="11"/>
        <v>195.84</v>
      </c>
      <c r="M228" s="128"/>
      <c r="N228" s="129">
        <f>+L228-M228+N227</f>
        <v>111495.88999999984</v>
      </c>
    </row>
    <row r="229" spans="1:14" ht="14.25" x14ac:dyDescent="0.2">
      <c r="A229" s="201">
        <v>43195</v>
      </c>
      <c r="B229" s="184" t="s">
        <v>211</v>
      </c>
      <c r="C229" s="126"/>
      <c r="D229" s="122"/>
      <c r="E229" s="122"/>
      <c r="F229" s="122"/>
      <c r="G229" s="126" t="s">
        <v>212</v>
      </c>
      <c r="H229" s="122"/>
      <c r="I229" s="122"/>
      <c r="J229" s="202">
        <v>918</v>
      </c>
      <c r="K229" s="182">
        <f t="shared" si="10"/>
        <v>293.76</v>
      </c>
      <c r="L229" s="182">
        <f t="shared" si="11"/>
        <v>624.24</v>
      </c>
      <c r="M229" s="128"/>
      <c r="N229" s="129">
        <f t="shared" ref="N229:N287" si="12">+L229-M229+N228</f>
        <v>112120.12999999984</v>
      </c>
    </row>
    <row r="230" spans="1:14" ht="14.25" x14ac:dyDescent="0.2">
      <c r="A230" s="201">
        <v>43196</v>
      </c>
      <c r="B230" s="184" t="s">
        <v>211</v>
      </c>
      <c r="C230" s="126"/>
      <c r="D230" s="122"/>
      <c r="E230" s="122"/>
      <c r="F230" s="122"/>
      <c r="G230" s="126" t="s">
        <v>212</v>
      </c>
      <c r="H230" s="122"/>
      <c r="I230" s="122"/>
      <c r="J230" s="202">
        <v>408</v>
      </c>
      <c r="K230" s="182">
        <f t="shared" si="10"/>
        <v>130.56</v>
      </c>
      <c r="L230" s="182">
        <f t="shared" si="11"/>
        <v>277.44</v>
      </c>
      <c r="M230" s="128"/>
      <c r="N230" s="129">
        <f t="shared" si="12"/>
        <v>112397.56999999985</v>
      </c>
    </row>
    <row r="231" spans="1:14" ht="14.25" x14ac:dyDescent="0.2">
      <c r="A231" s="201">
        <v>43197</v>
      </c>
      <c r="B231" s="184" t="s">
        <v>211</v>
      </c>
      <c r="C231" s="126"/>
      <c r="D231" s="122"/>
      <c r="E231" s="122"/>
      <c r="F231" s="122"/>
      <c r="G231" s="126" t="s">
        <v>212</v>
      </c>
      <c r="H231" s="122"/>
      <c r="I231" s="122"/>
      <c r="J231" s="202">
        <v>185</v>
      </c>
      <c r="K231" s="182">
        <f t="shared" si="10"/>
        <v>59.2</v>
      </c>
      <c r="L231" s="182">
        <f t="shared" si="11"/>
        <v>125.80000000000001</v>
      </c>
      <c r="M231" s="128"/>
      <c r="N231" s="129">
        <f t="shared" si="12"/>
        <v>112523.36999999985</v>
      </c>
    </row>
    <row r="232" spans="1:14" ht="14.25" x14ac:dyDescent="0.2">
      <c r="A232" s="201">
        <v>43199</v>
      </c>
      <c r="B232" s="184" t="s">
        <v>211</v>
      </c>
      <c r="C232" s="126"/>
      <c r="D232" s="122"/>
      <c r="E232" s="122"/>
      <c r="F232" s="122"/>
      <c r="G232" s="126" t="s">
        <v>212</v>
      </c>
      <c r="H232" s="122"/>
      <c r="I232" s="122"/>
      <c r="J232" s="202">
        <v>944</v>
      </c>
      <c r="K232" s="182">
        <f t="shared" si="10"/>
        <v>302.08</v>
      </c>
      <c r="L232" s="182">
        <f t="shared" si="11"/>
        <v>641.92000000000007</v>
      </c>
      <c r="M232" s="128"/>
      <c r="N232" s="129">
        <f t="shared" si="12"/>
        <v>113165.28999999985</v>
      </c>
    </row>
    <row r="233" spans="1:14" ht="14.25" x14ac:dyDescent="0.2">
      <c r="A233" s="201">
        <v>43200</v>
      </c>
      <c r="B233" s="184" t="s">
        <v>211</v>
      </c>
      <c r="C233" s="126"/>
      <c r="D233" s="122"/>
      <c r="E233" s="122"/>
      <c r="F233" s="122"/>
      <c r="G233" s="126" t="s">
        <v>212</v>
      </c>
      <c r="H233" s="122"/>
      <c r="I233" s="122"/>
      <c r="J233" s="202">
        <v>472</v>
      </c>
      <c r="K233" s="182">
        <f t="shared" si="10"/>
        <v>151.04</v>
      </c>
      <c r="L233" s="182">
        <f t="shared" si="11"/>
        <v>320.96000000000004</v>
      </c>
      <c r="M233" s="128"/>
      <c r="N233" s="129">
        <f t="shared" si="12"/>
        <v>113486.24999999985</v>
      </c>
    </row>
    <row r="234" spans="1:14" ht="14.25" x14ac:dyDescent="0.2">
      <c r="A234" s="201">
        <v>43201</v>
      </c>
      <c r="B234" s="184" t="s">
        <v>211</v>
      </c>
      <c r="C234" s="126"/>
      <c r="D234" s="122"/>
      <c r="E234" s="122"/>
      <c r="F234" s="122"/>
      <c r="G234" s="126" t="s">
        <v>212</v>
      </c>
      <c r="H234" s="122"/>
      <c r="I234" s="122"/>
      <c r="J234" s="202">
        <v>2400</v>
      </c>
      <c r="K234" s="182">
        <f t="shared" si="10"/>
        <v>768</v>
      </c>
      <c r="L234" s="182">
        <f t="shared" si="11"/>
        <v>1632.0000000000002</v>
      </c>
      <c r="M234" s="128"/>
      <c r="N234" s="129">
        <f t="shared" si="12"/>
        <v>115118.24999999985</v>
      </c>
    </row>
    <row r="235" spans="1:14" ht="14.25" x14ac:dyDescent="0.2">
      <c r="A235" s="201">
        <v>43202</v>
      </c>
      <c r="B235" s="184" t="s">
        <v>211</v>
      </c>
      <c r="C235" s="126"/>
      <c r="D235" s="122"/>
      <c r="E235" s="122"/>
      <c r="F235" s="122"/>
      <c r="G235" s="126" t="s">
        <v>212</v>
      </c>
      <c r="H235" s="122"/>
      <c r="I235" s="122"/>
      <c r="J235" s="203">
        <v>1164</v>
      </c>
      <c r="K235" s="182">
        <f t="shared" si="10"/>
        <v>372.48</v>
      </c>
      <c r="L235" s="182">
        <f t="shared" si="11"/>
        <v>791.5200000000001</v>
      </c>
      <c r="M235" s="128"/>
      <c r="N235" s="129">
        <f t="shared" si="12"/>
        <v>115909.76999999986</v>
      </c>
    </row>
    <row r="236" spans="1:14" ht="14.25" x14ac:dyDescent="0.2">
      <c r="A236" s="201">
        <v>43203</v>
      </c>
      <c r="B236" s="184" t="s">
        <v>211</v>
      </c>
      <c r="C236" s="126"/>
      <c r="D236" s="135"/>
      <c r="E236" s="122"/>
      <c r="F236" s="122"/>
      <c r="G236" s="126" t="s">
        <v>212</v>
      </c>
      <c r="H236" s="135"/>
      <c r="I236" s="135"/>
      <c r="J236" s="203">
        <v>800</v>
      </c>
      <c r="K236" s="182">
        <f t="shared" si="10"/>
        <v>256</v>
      </c>
      <c r="L236" s="182">
        <f t="shared" si="11"/>
        <v>544</v>
      </c>
      <c r="M236" s="128"/>
      <c r="N236" s="129">
        <f t="shared" si="12"/>
        <v>116453.76999999986</v>
      </c>
    </row>
    <row r="237" spans="1:14" ht="14.25" x14ac:dyDescent="0.2">
      <c r="A237" s="201">
        <v>43204</v>
      </c>
      <c r="B237" s="184" t="s">
        <v>211</v>
      </c>
      <c r="C237" s="126"/>
      <c r="D237" s="135"/>
      <c r="E237" s="122"/>
      <c r="F237" s="122"/>
      <c r="G237" s="126" t="s">
        <v>212</v>
      </c>
      <c r="H237" s="135"/>
      <c r="I237" s="135"/>
      <c r="J237" s="202">
        <v>164</v>
      </c>
      <c r="K237" s="182">
        <f t="shared" si="10"/>
        <v>52.480000000000004</v>
      </c>
      <c r="L237" s="182">
        <f t="shared" si="11"/>
        <v>111.52000000000001</v>
      </c>
      <c r="M237" s="128"/>
      <c r="N237" s="129">
        <f t="shared" si="12"/>
        <v>116565.28999999986</v>
      </c>
    </row>
    <row r="238" spans="1:14" ht="14.25" x14ac:dyDescent="0.2">
      <c r="A238" s="201">
        <v>43206</v>
      </c>
      <c r="B238" s="184" t="s">
        <v>211</v>
      </c>
      <c r="C238" s="126"/>
      <c r="D238" s="135"/>
      <c r="E238" s="122"/>
      <c r="F238" s="122"/>
      <c r="G238" s="126" t="s">
        <v>212</v>
      </c>
      <c r="H238" s="135"/>
      <c r="I238" s="135"/>
      <c r="J238" s="202">
        <v>328</v>
      </c>
      <c r="K238" s="182">
        <f t="shared" si="10"/>
        <v>104.96000000000001</v>
      </c>
      <c r="L238" s="182">
        <f t="shared" si="11"/>
        <v>223.04000000000002</v>
      </c>
      <c r="M238" s="128"/>
      <c r="N238" s="129">
        <f t="shared" si="12"/>
        <v>116788.32999999986</v>
      </c>
    </row>
    <row r="239" spans="1:14" ht="14.25" x14ac:dyDescent="0.2">
      <c r="A239" s="201">
        <v>43207</v>
      </c>
      <c r="B239" s="184" t="s">
        <v>211</v>
      </c>
      <c r="C239" s="126"/>
      <c r="D239" s="135"/>
      <c r="E239" s="122"/>
      <c r="F239" s="122"/>
      <c r="G239" s="126" t="s">
        <v>212</v>
      </c>
      <c r="H239" s="135"/>
      <c r="I239" s="135"/>
      <c r="J239" s="202">
        <v>328</v>
      </c>
      <c r="K239" s="182">
        <f t="shared" si="10"/>
        <v>104.96000000000001</v>
      </c>
      <c r="L239" s="182">
        <f t="shared" si="11"/>
        <v>223.04000000000002</v>
      </c>
      <c r="M239" s="128"/>
      <c r="N239" s="129">
        <f t="shared" si="12"/>
        <v>117011.36999999985</v>
      </c>
    </row>
    <row r="240" spans="1:14" ht="14.25" x14ac:dyDescent="0.2">
      <c r="A240" s="201">
        <v>43208</v>
      </c>
      <c r="B240" s="184" t="s">
        <v>211</v>
      </c>
      <c r="C240" s="126"/>
      <c r="D240" s="122"/>
      <c r="E240" s="122"/>
      <c r="F240" s="122"/>
      <c r="G240" s="126" t="s">
        <v>212</v>
      </c>
      <c r="H240" s="122"/>
      <c r="I240" s="122"/>
      <c r="J240" s="202">
        <v>820</v>
      </c>
      <c r="K240" s="182">
        <f t="shared" si="10"/>
        <v>262.39999999999998</v>
      </c>
      <c r="L240" s="182">
        <f t="shared" si="11"/>
        <v>557.6</v>
      </c>
      <c r="M240" s="128"/>
      <c r="N240" s="129">
        <f t="shared" si="12"/>
        <v>117568.96999999986</v>
      </c>
    </row>
    <row r="241" spans="1:14" ht="14.25" x14ac:dyDescent="0.2">
      <c r="A241" s="201">
        <v>43209</v>
      </c>
      <c r="B241" s="184" t="s">
        <v>211</v>
      </c>
      <c r="C241" s="126"/>
      <c r="D241" s="122"/>
      <c r="E241" s="122"/>
      <c r="F241" s="122"/>
      <c r="G241" s="126" t="s">
        <v>212</v>
      </c>
      <c r="H241" s="122"/>
      <c r="I241" s="122"/>
      <c r="J241" s="202">
        <v>4893</v>
      </c>
      <c r="K241" s="182">
        <f t="shared" si="10"/>
        <v>1565.76</v>
      </c>
      <c r="L241" s="182">
        <f t="shared" si="11"/>
        <v>3327.2400000000002</v>
      </c>
      <c r="M241" s="128"/>
      <c r="N241" s="129">
        <f t="shared" si="12"/>
        <v>120896.20999999986</v>
      </c>
    </row>
    <row r="242" spans="1:14" ht="14.25" x14ac:dyDescent="0.2">
      <c r="A242" s="201">
        <v>43210</v>
      </c>
      <c r="B242" s="184" t="s">
        <v>211</v>
      </c>
      <c r="C242" s="126"/>
      <c r="D242" s="122"/>
      <c r="E242" s="122"/>
      <c r="F242" s="122"/>
      <c r="G242" s="126" t="s">
        <v>212</v>
      </c>
      <c r="H242" s="122"/>
      <c r="I242" s="122"/>
      <c r="J242" s="202">
        <v>1249</v>
      </c>
      <c r="K242" s="182">
        <f t="shared" si="10"/>
        <v>399.68</v>
      </c>
      <c r="L242" s="182">
        <f t="shared" si="11"/>
        <v>849.32</v>
      </c>
      <c r="M242" s="128"/>
      <c r="N242" s="129">
        <f t="shared" si="12"/>
        <v>121745.52999999987</v>
      </c>
    </row>
    <row r="243" spans="1:14" ht="14.25" x14ac:dyDescent="0.2">
      <c r="A243" s="201">
        <v>43211</v>
      </c>
      <c r="B243" s="184" t="s">
        <v>211</v>
      </c>
      <c r="C243" s="126"/>
      <c r="D243" s="122"/>
      <c r="E243" s="122"/>
      <c r="F243" s="122"/>
      <c r="G243" s="126" t="s">
        <v>212</v>
      </c>
      <c r="H243" s="122"/>
      <c r="I243" s="122"/>
      <c r="J243" s="202">
        <v>764</v>
      </c>
      <c r="K243" s="182">
        <f t="shared" si="10"/>
        <v>244.48000000000002</v>
      </c>
      <c r="L243" s="182">
        <f t="shared" si="11"/>
        <v>519.52</v>
      </c>
      <c r="M243" s="128"/>
      <c r="N243" s="129">
        <f t="shared" si="12"/>
        <v>122265.04999999987</v>
      </c>
    </row>
    <row r="244" spans="1:14" ht="14.25" x14ac:dyDescent="0.2">
      <c r="A244" s="201">
        <v>43213</v>
      </c>
      <c r="B244" s="184" t="s">
        <v>211</v>
      </c>
      <c r="C244" s="126"/>
      <c r="D244" s="122"/>
      <c r="E244" s="122"/>
      <c r="F244" s="122"/>
      <c r="G244" s="126" t="s">
        <v>212</v>
      </c>
      <c r="H244" s="122"/>
      <c r="I244" s="122"/>
      <c r="J244" s="202">
        <v>328</v>
      </c>
      <c r="K244" s="182">
        <f t="shared" si="10"/>
        <v>104.96000000000001</v>
      </c>
      <c r="L244" s="182">
        <f t="shared" si="11"/>
        <v>223.04000000000002</v>
      </c>
      <c r="M244" s="128"/>
      <c r="N244" s="129">
        <f t="shared" si="12"/>
        <v>122488.08999999987</v>
      </c>
    </row>
    <row r="245" spans="1:14" ht="14.25" x14ac:dyDescent="0.2">
      <c r="A245" s="201">
        <v>43214</v>
      </c>
      <c r="B245" s="184" t="s">
        <v>211</v>
      </c>
      <c r="C245" s="126"/>
      <c r="D245" s="122"/>
      <c r="E245" s="122"/>
      <c r="F245" s="122"/>
      <c r="G245" s="126" t="s">
        <v>212</v>
      </c>
      <c r="H245" s="122"/>
      <c r="I245" s="122"/>
      <c r="J245" s="202">
        <v>839</v>
      </c>
      <c r="K245" s="182">
        <f t="shared" si="10"/>
        <v>268.48</v>
      </c>
      <c r="L245" s="182">
        <f t="shared" si="11"/>
        <v>570.5200000000001</v>
      </c>
      <c r="M245" s="128"/>
      <c r="N245" s="129">
        <f t="shared" si="12"/>
        <v>123058.60999999987</v>
      </c>
    </row>
    <row r="246" spans="1:14" ht="14.25" x14ac:dyDescent="0.2">
      <c r="A246" s="201">
        <v>43215</v>
      </c>
      <c r="B246" s="184" t="s">
        <v>213</v>
      </c>
      <c r="C246" s="193"/>
      <c r="D246" s="122"/>
      <c r="E246" s="122"/>
      <c r="F246" s="122"/>
      <c r="G246" s="126" t="s">
        <v>214</v>
      </c>
      <c r="H246" s="123"/>
      <c r="I246" s="123"/>
      <c r="J246" s="202">
        <v>164</v>
      </c>
      <c r="K246" s="182">
        <f t="shared" si="10"/>
        <v>52.480000000000004</v>
      </c>
      <c r="L246" s="182">
        <f>+J246*0.68</f>
        <v>111.52000000000001</v>
      </c>
      <c r="M246" s="128"/>
      <c r="N246" s="129">
        <f t="shared" si="12"/>
        <v>123170.12999999987</v>
      </c>
    </row>
    <row r="247" spans="1:14" ht="14.25" x14ac:dyDescent="0.2">
      <c r="A247" s="201">
        <v>43216</v>
      </c>
      <c r="B247" s="184" t="s">
        <v>213</v>
      </c>
      <c r="C247" s="122"/>
      <c r="D247" s="122"/>
      <c r="E247" s="122"/>
      <c r="F247" s="122"/>
      <c r="G247" s="126" t="s">
        <v>214</v>
      </c>
      <c r="H247" s="123"/>
      <c r="I247" s="123"/>
      <c r="J247" s="202">
        <v>264</v>
      </c>
      <c r="K247" s="182">
        <f t="shared" si="10"/>
        <v>84.48</v>
      </c>
      <c r="L247" s="182">
        <f t="shared" si="11"/>
        <v>179.52</v>
      </c>
      <c r="M247" s="128"/>
      <c r="N247" s="129">
        <f t="shared" si="12"/>
        <v>123349.64999999988</v>
      </c>
    </row>
    <row r="248" spans="1:14" ht="14.25" x14ac:dyDescent="0.2">
      <c r="A248" s="201">
        <v>43217</v>
      </c>
      <c r="B248" s="184" t="s">
        <v>213</v>
      </c>
      <c r="C248" s="122"/>
      <c r="D248" s="122"/>
      <c r="E248" s="122"/>
      <c r="F248" s="122"/>
      <c r="G248" s="126" t="s">
        <v>214</v>
      </c>
      <c r="H248" s="123"/>
      <c r="I248" s="123"/>
      <c r="J248" s="202">
        <v>308</v>
      </c>
      <c r="K248" s="182">
        <f t="shared" si="10"/>
        <v>98.56</v>
      </c>
      <c r="L248" s="182">
        <f t="shared" si="11"/>
        <v>209.44000000000003</v>
      </c>
      <c r="M248" s="128"/>
      <c r="N248" s="129">
        <f t="shared" si="12"/>
        <v>123559.08999999988</v>
      </c>
    </row>
    <row r="249" spans="1:14" ht="14.25" x14ac:dyDescent="0.2">
      <c r="A249" s="201">
        <v>43467</v>
      </c>
      <c r="B249" s="184"/>
      <c r="C249" s="122"/>
      <c r="D249" s="122"/>
      <c r="E249" s="122"/>
      <c r="F249" s="122"/>
      <c r="G249" s="126"/>
      <c r="H249" s="123"/>
      <c r="I249" s="123"/>
      <c r="J249" s="202">
        <v>588</v>
      </c>
      <c r="K249" s="182">
        <f t="shared" si="10"/>
        <v>188.16</v>
      </c>
      <c r="L249" s="182">
        <f t="shared" si="11"/>
        <v>399.84000000000003</v>
      </c>
      <c r="M249" s="128"/>
      <c r="N249" s="129">
        <f t="shared" si="12"/>
        <v>123958.92999999988</v>
      </c>
    </row>
    <row r="250" spans="1:14" ht="14.25" x14ac:dyDescent="0.2">
      <c r="A250" s="201">
        <v>43558</v>
      </c>
      <c r="B250" s="184"/>
      <c r="C250" s="122"/>
      <c r="D250" s="122"/>
      <c r="E250" s="122"/>
      <c r="F250" s="122"/>
      <c r="G250" s="126"/>
      <c r="H250" s="123"/>
      <c r="I250" s="123"/>
      <c r="J250" s="202">
        <v>308</v>
      </c>
      <c r="K250" s="182">
        <f t="shared" si="10"/>
        <v>98.56</v>
      </c>
      <c r="L250" s="182">
        <f t="shared" si="11"/>
        <v>209.44000000000003</v>
      </c>
      <c r="M250" s="128"/>
      <c r="N250" s="129">
        <f t="shared" si="12"/>
        <v>124168.36999999988</v>
      </c>
    </row>
    <row r="251" spans="1:14" ht="14.25" x14ac:dyDescent="0.2">
      <c r="A251" s="201">
        <v>43559</v>
      </c>
      <c r="B251" s="184"/>
      <c r="C251" s="122"/>
      <c r="D251" s="122"/>
      <c r="E251" s="122"/>
      <c r="F251" s="122"/>
      <c r="G251" s="126"/>
      <c r="H251" s="123"/>
      <c r="I251" s="123"/>
      <c r="J251" s="202">
        <v>164</v>
      </c>
      <c r="K251" s="182">
        <f t="shared" si="10"/>
        <v>52.480000000000004</v>
      </c>
      <c r="L251" s="182">
        <f t="shared" si="11"/>
        <v>111.52000000000001</v>
      </c>
      <c r="M251" s="128"/>
      <c r="N251" s="129">
        <f t="shared" si="12"/>
        <v>124279.88999999988</v>
      </c>
    </row>
    <row r="252" spans="1:14" ht="14.25" x14ac:dyDescent="0.2">
      <c r="A252" s="201">
        <v>43561</v>
      </c>
      <c r="B252" s="184"/>
      <c r="C252" s="122"/>
      <c r="D252" s="122"/>
      <c r="E252" s="122"/>
      <c r="F252" s="122"/>
      <c r="G252" s="126"/>
      <c r="H252" s="123"/>
      <c r="I252" s="123"/>
      <c r="J252" s="202">
        <v>400</v>
      </c>
      <c r="K252" s="182">
        <f t="shared" si="10"/>
        <v>128</v>
      </c>
      <c r="L252" s="182">
        <f t="shared" si="11"/>
        <v>272</v>
      </c>
      <c r="M252" s="128"/>
      <c r="N252" s="129">
        <f t="shared" si="12"/>
        <v>124551.88999999988</v>
      </c>
    </row>
    <row r="253" spans="1:14" ht="14.25" x14ac:dyDescent="0.2">
      <c r="A253" s="201">
        <v>43564</v>
      </c>
      <c r="B253" s="184"/>
      <c r="C253" s="122"/>
      <c r="D253" s="122"/>
      <c r="E253" s="122"/>
      <c r="F253" s="122"/>
      <c r="G253" s="126"/>
      <c r="H253" s="123"/>
      <c r="I253" s="123"/>
      <c r="J253" s="202">
        <v>616</v>
      </c>
      <c r="K253" s="182">
        <f t="shared" si="10"/>
        <v>197.12</v>
      </c>
      <c r="L253" s="182">
        <f t="shared" si="11"/>
        <v>418.88000000000005</v>
      </c>
      <c r="M253" s="128"/>
      <c r="N253" s="129">
        <f t="shared" si="12"/>
        <v>124970.76999999989</v>
      </c>
    </row>
    <row r="254" spans="1:14" ht="14.25" x14ac:dyDescent="0.2">
      <c r="A254" s="201">
        <v>43565</v>
      </c>
      <c r="B254" s="184"/>
      <c r="C254" s="122"/>
      <c r="D254" s="122"/>
      <c r="E254" s="122"/>
      <c r="F254" s="122"/>
      <c r="G254" s="126"/>
      <c r="H254" s="123"/>
      <c r="I254" s="123"/>
      <c r="J254" s="202">
        <v>472</v>
      </c>
      <c r="K254" s="182">
        <f t="shared" si="10"/>
        <v>151.04</v>
      </c>
      <c r="L254" s="182">
        <f t="shared" si="11"/>
        <v>320.96000000000004</v>
      </c>
      <c r="M254" s="128"/>
      <c r="N254" s="129">
        <f t="shared" si="12"/>
        <v>125291.72999999989</v>
      </c>
    </row>
    <row r="255" spans="1:14" ht="14.25" x14ac:dyDescent="0.2">
      <c r="A255" s="201">
        <v>43567</v>
      </c>
      <c r="B255" s="184"/>
      <c r="C255" s="122"/>
      <c r="D255" s="122"/>
      <c r="E255" s="122"/>
      <c r="F255" s="122"/>
      <c r="G255" s="126"/>
      <c r="H255" s="123"/>
      <c r="I255" s="123"/>
      <c r="J255" s="202">
        <v>944</v>
      </c>
      <c r="K255" s="182">
        <f t="shared" si="10"/>
        <v>302.08</v>
      </c>
      <c r="L255" s="182">
        <f t="shared" si="11"/>
        <v>641.92000000000007</v>
      </c>
      <c r="M255" s="128"/>
      <c r="N255" s="129">
        <f t="shared" si="12"/>
        <v>125933.64999999989</v>
      </c>
    </row>
    <row r="256" spans="1:14" ht="14.25" x14ac:dyDescent="0.2">
      <c r="A256" s="201">
        <v>43568</v>
      </c>
      <c r="B256" s="184"/>
      <c r="C256" s="122"/>
      <c r="D256" s="122"/>
      <c r="E256" s="122"/>
      <c r="F256" s="122"/>
      <c r="G256" s="126"/>
      <c r="H256" s="123"/>
      <c r="I256" s="123"/>
      <c r="J256" s="202">
        <v>164</v>
      </c>
      <c r="K256" s="182">
        <f t="shared" si="10"/>
        <v>52.480000000000004</v>
      </c>
      <c r="L256" s="182">
        <f t="shared" si="11"/>
        <v>111.52000000000001</v>
      </c>
      <c r="M256" s="128"/>
      <c r="N256" s="129">
        <f t="shared" si="12"/>
        <v>126045.1699999999</v>
      </c>
    </row>
    <row r="257" spans="1:14" ht="14.25" x14ac:dyDescent="0.2">
      <c r="A257" s="201">
        <v>43569</v>
      </c>
      <c r="B257" s="184"/>
      <c r="C257" s="122"/>
      <c r="D257" s="122"/>
      <c r="E257" s="122"/>
      <c r="F257" s="122"/>
      <c r="G257" s="126"/>
      <c r="H257" s="123"/>
      <c r="I257" s="123"/>
      <c r="J257" s="202">
        <v>308</v>
      </c>
      <c r="K257" s="182">
        <f t="shared" si="10"/>
        <v>98.56</v>
      </c>
      <c r="L257" s="182">
        <f t="shared" si="11"/>
        <v>209.44000000000003</v>
      </c>
      <c r="M257" s="128"/>
      <c r="N257" s="129">
        <f t="shared" si="12"/>
        <v>126254.6099999999</v>
      </c>
    </row>
    <row r="258" spans="1:14" ht="14.25" x14ac:dyDescent="0.2">
      <c r="A258" s="201">
        <v>43571</v>
      </c>
      <c r="B258" s="184"/>
      <c r="C258" s="122"/>
      <c r="D258" s="122"/>
      <c r="E258" s="122"/>
      <c r="F258" s="122"/>
      <c r="G258" s="126"/>
      <c r="H258" s="123"/>
      <c r="I258" s="123"/>
      <c r="J258" s="202">
        <v>164</v>
      </c>
      <c r="K258" s="182">
        <f t="shared" si="10"/>
        <v>52.480000000000004</v>
      </c>
      <c r="L258" s="182">
        <f t="shared" si="11"/>
        <v>111.52000000000001</v>
      </c>
      <c r="M258" s="128"/>
      <c r="N258" s="129">
        <f t="shared" si="12"/>
        <v>126366.1299999999</v>
      </c>
    </row>
    <row r="259" spans="1:14" ht="14.25" x14ac:dyDescent="0.2">
      <c r="A259" s="201">
        <v>43572</v>
      </c>
      <c r="B259" s="184"/>
      <c r="C259" s="122"/>
      <c r="D259" s="122"/>
      <c r="E259" s="122"/>
      <c r="F259" s="122"/>
      <c r="G259" s="126"/>
      <c r="H259" s="123"/>
      <c r="I259" s="123"/>
      <c r="J259" s="202">
        <v>636</v>
      </c>
      <c r="K259" s="182">
        <f t="shared" si="10"/>
        <v>203.52</v>
      </c>
      <c r="L259" s="182">
        <f t="shared" si="11"/>
        <v>432.48</v>
      </c>
      <c r="M259" s="128"/>
      <c r="N259" s="129">
        <f t="shared" si="12"/>
        <v>126798.6099999999</v>
      </c>
    </row>
    <row r="260" spans="1:14" ht="14.25" x14ac:dyDescent="0.2">
      <c r="A260" s="201">
        <v>43573</v>
      </c>
      <c r="B260" s="184"/>
      <c r="C260" s="122"/>
      <c r="D260" s="122"/>
      <c r="E260" s="122"/>
      <c r="F260" s="122"/>
      <c r="G260" s="126"/>
      <c r="H260" s="123"/>
      <c r="I260" s="123"/>
      <c r="J260" s="202">
        <v>308</v>
      </c>
      <c r="K260" s="182">
        <f t="shared" si="10"/>
        <v>98.56</v>
      </c>
      <c r="L260" s="182">
        <f t="shared" si="11"/>
        <v>209.44000000000003</v>
      </c>
      <c r="M260" s="128"/>
      <c r="N260" s="129">
        <f t="shared" si="12"/>
        <v>127008.0499999999</v>
      </c>
    </row>
    <row r="261" spans="1:14" ht="14.25" x14ac:dyDescent="0.2">
      <c r="A261" s="201">
        <v>43574</v>
      </c>
      <c r="B261" s="184"/>
      <c r="C261" s="122"/>
      <c r="D261" s="122"/>
      <c r="E261" s="122"/>
      <c r="F261" s="122"/>
      <c r="G261" s="126"/>
      <c r="H261" s="123"/>
      <c r="I261" s="123"/>
      <c r="J261" s="202">
        <v>572</v>
      </c>
      <c r="K261" s="182">
        <f t="shared" si="10"/>
        <v>183.04</v>
      </c>
      <c r="L261" s="182">
        <f t="shared" si="11"/>
        <v>388.96000000000004</v>
      </c>
      <c r="M261" s="128"/>
      <c r="N261" s="129">
        <f t="shared" si="12"/>
        <v>127397.00999999991</v>
      </c>
    </row>
    <row r="262" spans="1:14" ht="14.25" x14ac:dyDescent="0.2">
      <c r="A262" s="201">
        <v>43575</v>
      </c>
      <c r="B262" s="184"/>
      <c r="C262" s="122"/>
      <c r="D262" s="122"/>
      <c r="E262" s="122"/>
      <c r="F262" s="122"/>
      <c r="G262" s="126"/>
      <c r="H262" s="123"/>
      <c r="I262" s="123"/>
      <c r="J262" s="202">
        <v>984</v>
      </c>
      <c r="K262" s="182">
        <f t="shared" si="10"/>
        <v>314.88</v>
      </c>
      <c r="L262" s="182">
        <f t="shared" si="11"/>
        <v>669.12</v>
      </c>
      <c r="M262" s="128"/>
      <c r="N262" s="129">
        <f t="shared" si="12"/>
        <v>128066.1299999999</v>
      </c>
    </row>
    <row r="263" spans="1:14" ht="14.25" x14ac:dyDescent="0.2">
      <c r="A263" s="201">
        <v>43576</v>
      </c>
      <c r="B263" s="184"/>
      <c r="C263" s="122"/>
      <c r="D263" s="122"/>
      <c r="E263" s="122"/>
      <c r="F263" s="122"/>
      <c r="G263" s="126"/>
      <c r="H263" s="123"/>
      <c r="I263" s="123"/>
      <c r="J263" s="202">
        <v>308</v>
      </c>
      <c r="K263" s="182">
        <f t="shared" si="10"/>
        <v>98.56</v>
      </c>
      <c r="L263" s="182">
        <f t="shared" si="11"/>
        <v>209.44000000000003</v>
      </c>
      <c r="M263" s="128"/>
      <c r="N263" s="129">
        <f t="shared" si="12"/>
        <v>128275.56999999991</v>
      </c>
    </row>
    <row r="264" spans="1:14" ht="14.25" x14ac:dyDescent="0.2">
      <c r="A264" s="201">
        <v>43579</v>
      </c>
      <c r="B264" s="184"/>
      <c r="C264" s="122"/>
      <c r="D264" s="122"/>
      <c r="E264" s="122"/>
      <c r="F264" s="122"/>
      <c r="G264" s="126"/>
      <c r="H264" s="123"/>
      <c r="I264" s="123"/>
      <c r="J264" s="202">
        <v>1692</v>
      </c>
      <c r="K264" s="182">
        <f t="shared" si="10"/>
        <v>541.44000000000005</v>
      </c>
      <c r="L264" s="182">
        <f t="shared" si="11"/>
        <v>1150.5600000000002</v>
      </c>
      <c r="M264" s="128"/>
      <c r="N264" s="129">
        <f t="shared" si="12"/>
        <v>129426.1299999999</v>
      </c>
    </row>
    <row r="265" spans="1:14" ht="14.25" x14ac:dyDescent="0.2">
      <c r="A265" s="201">
        <v>43581</v>
      </c>
      <c r="B265" s="184"/>
      <c r="C265" s="122"/>
      <c r="D265" s="122"/>
      <c r="E265" s="122"/>
      <c r="F265" s="122"/>
      <c r="G265" s="126"/>
      <c r="H265" s="123"/>
      <c r="I265" s="123"/>
      <c r="J265" s="202">
        <v>308</v>
      </c>
      <c r="K265" s="182">
        <f t="shared" si="10"/>
        <v>98.56</v>
      </c>
      <c r="L265" s="182">
        <f t="shared" si="11"/>
        <v>209.44000000000003</v>
      </c>
      <c r="M265" s="128"/>
      <c r="N265" s="129">
        <f t="shared" si="12"/>
        <v>129635.56999999991</v>
      </c>
    </row>
    <row r="266" spans="1:14" ht="14.25" x14ac:dyDescent="0.2">
      <c r="A266" s="201">
        <v>43582</v>
      </c>
      <c r="B266" s="184"/>
      <c r="C266" s="122"/>
      <c r="D266" s="122"/>
      <c r="E266" s="122"/>
      <c r="F266" s="122"/>
      <c r="G266" s="126"/>
      <c r="H266" s="123"/>
      <c r="I266" s="123"/>
      <c r="J266" s="202">
        <v>100</v>
      </c>
      <c r="K266" s="182">
        <f t="shared" si="10"/>
        <v>32</v>
      </c>
      <c r="L266" s="182">
        <f t="shared" si="11"/>
        <v>68</v>
      </c>
      <c r="M266" s="128"/>
      <c r="N266" s="129">
        <f t="shared" si="12"/>
        <v>129703.56999999991</v>
      </c>
    </row>
    <row r="267" spans="1:14" ht="14.25" x14ac:dyDescent="0.2">
      <c r="A267" s="201"/>
      <c r="B267" s="184"/>
      <c r="C267" s="122"/>
      <c r="D267" s="122"/>
      <c r="E267" s="122"/>
      <c r="F267" s="122"/>
      <c r="G267" s="126"/>
      <c r="H267" s="123"/>
      <c r="I267" s="123"/>
      <c r="J267" s="202"/>
      <c r="K267" s="182">
        <f t="shared" si="10"/>
        <v>0</v>
      </c>
      <c r="L267" s="182"/>
      <c r="M267" s="128"/>
      <c r="N267" s="129">
        <f t="shared" si="12"/>
        <v>129703.56999999991</v>
      </c>
    </row>
    <row r="268" spans="1:14" x14ac:dyDescent="0.2">
      <c r="A268" s="131"/>
      <c r="B268" s="132"/>
      <c r="C268" s="122"/>
      <c r="D268" s="122"/>
      <c r="E268" s="122"/>
      <c r="F268" s="122"/>
      <c r="G268" s="126"/>
      <c r="H268" s="123"/>
      <c r="I268" s="123"/>
      <c r="J268" s="127"/>
      <c r="K268" s="128"/>
      <c r="L268" s="128"/>
      <c r="M268" s="128"/>
      <c r="N268" s="129">
        <f t="shared" si="12"/>
        <v>129703.56999999991</v>
      </c>
    </row>
    <row r="269" spans="1:14" ht="15" x14ac:dyDescent="0.25">
      <c r="A269" s="533" t="s">
        <v>215</v>
      </c>
      <c r="B269" s="534"/>
      <c r="C269" s="534"/>
      <c r="D269" s="534"/>
      <c r="E269" s="534"/>
      <c r="F269" s="534"/>
      <c r="G269" s="534"/>
      <c r="H269" s="534"/>
      <c r="I269" s="534"/>
      <c r="J269" s="534"/>
      <c r="K269" s="534"/>
      <c r="L269" s="534"/>
      <c r="M269" s="534"/>
      <c r="N269" s="129">
        <f t="shared" si="12"/>
        <v>129703.56999999991</v>
      </c>
    </row>
    <row r="270" spans="1:14" ht="15" x14ac:dyDescent="0.25">
      <c r="A270" s="204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129">
        <f t="shared" si="12"/>
        <v>129703.56999999991</v>
      </c>
    </row>
    <row r="271" spans="1:14" x14ac:dyDescent="0.2">
      <c r="A271" s="131"/>
      <c r="B271" s="132"/>
      <c r="C271" s="122"/>
      <c r="D271" s="122"/>
      <c r="E271" s="122"/>
      <c r="F271" s="122"/>
      <c r="G271" s="133"/>
      <c r="H271" s="123"/>
      <c r="I271" s="123"/>
      <c r="J271" s="127"/>
      <c r="K271" s="128"/>
      <c r="L271" s="128"/>
      <c r="M271" s="129"/>
      <c r="N271" s="129">
        <f t="shared" si="12"/>
        <v>129703.56999999991</v>
      </c>
    </row>
    <row r="272" spans="1:14" x14ac:dyDescent="0.2">
      <c r="A272" s="185">
        <v>43228</v>
      </c>
      <c r="B272" s="151" t="s">
        <v>216</v>
      </c>
      <c r="C272" s="152"/>
      <c r="D272" s="186" t="s">
        <v>217</v>
      </c>
      <c r="E272" s="122"/>
      <c r="F272" s="146"/>
      <c r="G272" s="147" t="s">
        <v>218</v>
      </c>
      <c r="H272" s="148" t="s">
        <v>219</v>
      </c>
      <c r="I272" s="148"/>
      <c r="J272" s="127" t="s">
        <v>220</v>
      </c>
      <c r="K272" s="128"/>
      <c r="L272" s="128"/>
      <c r="M272" s="149">
        <v>1040</v>
      </c>
      <c r="N272" s="129">
        <f t="shared" si="12"/>
        <v>128663.56999999991</v>
      </c>
    </row>
    <row r="273" spans="1:14" x14ac:dyDescent="0.2">
      <c r="A273" s="185">
        <v>43236</v>
      </c>
      <c r="B273" s="151" t="s">
        <v>221</v>
      </c>
      <c r="C273" s="152"/>
      <c r="D273" s="186" t="s">
        <v>222</v>
      </c>
      <c r="E273" s="122"/>
      <c r="F273" s="146"/>
      <c r="G273" s="147" t="s">
        <v>223</v>
      </c>
      <c r="H273" s="148" t="s">
        <v>224</v>
      </c>
      <c r="I273" s="148"/>
      <c r="J273" s="127"/>
      <c r="K273" s="128"/>
      <c r="L273" s="128"/>
      <c r="M273" s="149">
        <v>300</v>
      </c>
      <c r="N273" s="129">
        <f t="shared" si="12"/>
        <v>128363.56999999991</v>
      </c>
    </row>
    <row r="274" spans="1:14" x14ac:dyDescent="0.2">
      <c r="A274" s="185">
        <v>43237</v>
      </c>
      <c r="B274" s="151" t="s">
        <v>225</v>
      </c>
      <c r="C274" s="152"/>
      <c r="D274" s="186" t="s">
        <v>226</v>
      </c>
      <c r="E274" s="122"/>
      <c r="F274" s="146"/>
      <c r="G274" s="147" t="s">
        <v>227</v>
      </c>
      <c r="H274" s="148" t="s">
        <v>228</v>
      </c>
      <c r="I274" s="148"/>
      <c r="J274" s="127"/>
      <c r="K274" s="128"/>
      <c r="L274" s="128"/>
      <c r="M274" s="149">
        <v>1700</v>
      </c>
      <c r="N274" s="129">
        <f t="shared" si="12"/>
        <v>126663.56999999991</v>
      </c>
    </row>
    <row r="275" spans="1:14" x14ac:dyDescent="0.2">
      <c r="A275" s="185"/>
      <c r="B275" s="151" t="s">
        <v>229</v>
      </c>
      <c r="C275" s="152"/>
      <c r="D275" s="156" t="s">
        <v>230</v>
      </c>
      <c r="E275" s="147"/>
      <c r="F275" s="148"/>
      <c r="G275" s="133"/>
      <c r="H275" s="148" t="s">
        <v>231</v>
      </c>
      <c r="I275" s="148"/>
      <c r="J275" s="128"/>
      <c r="K275" s="197"/>
      <c r="L275" s="146"/>
      <c r="M275" s="149">
        <v>950</v>
      </c>
      <c r="N275" s="129">
        <f t="shared" si="12"/>
        <v>125713.56999999991</v>
      </c>
    </row>
    <row r="276" spans="1:14" x14ac:dyDescent="0.2">
      <c r="A276" s="185"/>
      <c r="B276" s="151" t="s">
        <v>232</v>
      </c>
      <c r="C276" s="152"/>
      <c r="D276" s="156" t="s">
        <v>233</v>
      </c>
      <c r="E276" s="147"/>
      <c r="F276" s="148"/>
      <c r="G276" s="133"/>
      <c r="H276" s="148" t="s">
        <v>234</v>
      </c>
      <c r="I276" s="148"/>
      <c r="J276" s="128"/>
      <c r="K276" s="197"/>
      <c r="L276" s="146"/>
      <c r="M276" s="149">
        <v>850</v>
      </c>
      <c r="N276" s="129">
        <f t="shared" si="12"/>
        <v>124863.56999999991</v>
      </c>
    </row>
    <row r="277" spans="1:14" x14ac:dyDescent="0.2">
      <c r="A277" s="185">
        <v>43237</v>
      </c>
      <c r="B277" s="151" t="s">
        <v>235</v>
      </c>
      <c r="C277" s="152"/>
      <c r="D277" s="156" t="s">
        <v>236</v>
      </c>
      <c r="E277" s="147"/>
      <c r="F277" s="148"/>
      <c r="G277" s="133" t="s">
        <v>237</v>
      </c>
      <c r="H277" s="123" t="s">
        <v>238</v>
      </c>
      <c r="I277" s="123"/>
      <c r="J277" s="128"/>
      <c r="K277" s="197"/>
      <c r="L277" s="146"/>
      <c r="M277" s="149">
        <v>800</v>
      </c>
      <c r="N277" s="129">
        <f t="shared" si="12"/>
        <v>124063.56999999991</v>
      </c>
    </row>
    <row r="278" spans="1:14" x14ac:dyDescent="0.2">
      <c r="A278" s="206">
        <v>43237</v>
      </c>
      <c r="B278" s="132"/>
      <c r="C278" s="122"/>
      <c r="D278" s="146"/>
      <c r="E278" s="147"/>
      <c r="F278" s="148"/>
      <c r="G278" s="133" t="s">
        <v>239</v>
      </c>
      <c r="H278" s="123" t="s">
        <v>240</v>
      </c>
      <c r="I278" s="123"/>
      <c r="J278" s="128"/>
      <c r="K278" s="197"/>
      <c r="L278" s="146"/>
      <c r="M278" s="149">
        <v>2080</v>
      </c>
      <c r="N278" s="129">
        <f t="shared" si="12"/>
        <v>121983.56999999991</v>
      </c>
    </row>
    <row r="279" spans="1:14" s="312" customFormat="1" x14ac:dyDescent="0.2">
      <c r="A279" s="327">
        <v>43238</v>
      </c>
      <c r="B279" s="303"/>
      <c r="C279" s="304"/>
      <c r="D279" s="305"/>
      <c r="E279" s="306"/>
      <c r="F279" s="307"/>
      <c r="G279" s="328" t="s">
        <v>241</v>
      </c>
      <c r="H279" s="329" t="s">
        <v>242</v>
      </c>
      <c r="I279" s="308">
        <v>2096</v>
      </c>
      <c r="J279" s="310"/>
      <c r="K279" s="330" t="s">
        <v>243</v>
      </c>
      <c r="L279" s="305"/>
      <c r="N279" s="129">
        <f t="shared" si="12"/>
        <v>121983.56999999991</v>
      </c>
    </row>
    <row r="280" spans="1:14" s="312" customFormat="1" x14ac:dyDescent="0.2">
      <c r="A280" s="331"/>
      <c r="B280" s="303" t="s">
        <v>244</v>
      </c>
      <c r="C280" s="304"/>
      <c r="D280" s="305"/>
      <c r="E280" s="306"/>
      <c r="F280" s="307"/>
      <c r="G280" s="328" t="s">
        <v>245</v>
      </c>
      <c r="H280" s="329"/>
      <c r="I280" s="308">
        <v>2794.67</v>
      </c>
      <c r="J280" s="310"/>
      <c r="K280" s="330" t="s">
        <v>246</v>
      </c>
      <c r="L280" s="305"/>
      <c r="N280" s="129">
        <f t="shared" si="12"/>
        <v>121983.56999999991</v>
      </c>
    </row>
    <row r="281" spans="1:14" s="312" customFormat="1" x14ac:dyDescent="0.2">
      <c r="A281" s="331"/>
      <c r="B281" s="303"/>
      <c r="C281" s="304"/>
      <c r="D281" s="305"/>
      <c r="E281" s="306"/>
      <c r="F281" s="307"/>
      <c r="G281" s="328"/>
      <c r="H281" s="329"/>
      <c r="I281" s="308">
        <v>1048</v>
      </c>
      <c r="J281" s="310"/>
      <c r="K281" s="330" t="s">
        <v>64</v>
      </c>
      <c r="L281" s="305"/>
      <c r="N281" s="129">
        <f t="shared" si="12"/>
        <v>121983.56999999991</v>
      </c>
    </row>
    <row r="282" spans="1:14" s="312" customFormat="1" x14ac:dyDescent="0.2">
      <c r="A282" s="331"/>
      <c r="B282" s="303"/>
      <c r="C282" s="304"/>
      <c r="D282" s="305"/>
      <c r="E282" s="306"/>
      <c r="F282" s="307"/>
      <c r="G282" s="328"/>
      <c r="H282" s="329"/>
      <c r="I282" s="308">
        <v>1048</v>
      </c>
      <c r="J282" s="310"/>
      <c r="K282" s="330" t="s">
        <v>65</v>
      </c>
      <c r="L282" s="305"/>
      <c r="N282" s="129">
        <f t="shared" si="12"/>
        <v>121983.56999999991</v>
      </c>
    </row>
    <row r="283" spans="1:14" s="312" customFormat="1" x14ac:dyDescent="0.2">
      <c r="A283" s="331"/>
      <c r="B283" s="303"/>
      <c r="C283" s="304"/>
      <c r="D283" s="305"/>
      <c r="E283" s="306"/>
      <c r="F283" s="307"/>
      <c r="G283" s="328" t="s">
        <v>241</v>
      </c>
      <c r="H283" s="329" t="s">
        <v>247</v>
      </c>
      <c r="I283" s="308">
        <v>1459.96</v>
      </c>
      <c r="J283" s="310"/>
      <c r="K283" s="330" t="s">
        <v>243</v>
      </c>
      <c r="L283" s="305"/>
      <c r="N283" s="129">
        <f t="shared" si="12"/>
        <v>121983.56999999991</v>
      </c>
    </row>
    <row r="284" spans="1:14" s="312" customFormat="1" x14ac:dyDescent="0.2">
      <c r="A284" s="331"/>
      <c r="B284" s="331"/>
      <c r="C284" s="303" t="s">
        <v>244</v>
      </c>
      <c r="D284" s="304"/>
      <c r="E284" s="306"/>
      <c r="F284" s="307"/>
      <c r="G284" s="328" t="s">
        <v>248</v>
      </c>
      <c r="H284" s="329"/>
      <c r="I284" s="308">
        <v>1946.61</v>
      </c>
      <c r="J284" s="310"/>
      <c r="K284" s="330" t="s">
        <v>249</v>
      </c>
      <c r="L284" s="305"/>
      <c r="N284" s="129">
        <f t="shared" si="12"/>
        <v>121983.56999999991</v>
      </c>
    </row>
    <row r="285" spans="1:14" s="312" customFormat="1" x14ac:dyDescent="0.2">
      <c r="A285" s="331"/>
      <c r="B285" s="303"/>
      <c r="C285" s="304"/>
      <c r="D285" s="305"/>
      <c r="E285" s="306"/>
      <c r="F285" s="307"/>
      <c r="G285" s="328"/>
      <c r="H285" s="329"/>
      <c r="I285" s="308">
        <v>729.98</v>
      </c>
      <c r="J285" s="310"/>
      <c r="K285" s="330" t="s">
        <v>64</v>
      </c>
      <c r="L285" s="305"/>
      <c r="N285" s="129">
        <f t="shared" si="12"/>
        <v>121983.56999999991</v>
      </c>
    </row>
    <row r="286" spans="1:14" s="312" customFormat="1" x14ac:dyDescent="0.2">
      <c r="A286" s="331"/>
      <c r="B286" s="303"/>
      <c r="C286" s="304"/>
      <c r="D286" s="305"/>
      <c r="E286" s="306"/>
      <c r="F286" s="307"/>
      <c r="G286" s="328"/>
      <c r="H286" s="329"/>
      <c r="I286" s="308">
        <v>729.98</v>
      </c>
      <c r="J286" s="310"/>
      <c r="K286" s="330" t="s">
        <v>65</v>
      </c>
      <c r="L286" s="305"/>
      <c r="N286" s="129">
        <f t="shared" si="12"/>
        <v>121983.56999999991</v>
      </c>
    </row>
    <row r="287" spans="1:14" x14ac:dyDescent="0.2">
      <c r="A287" s="131"/>
      <c r="B287" s="132"/>
      <c r="C287" s="122"/>
      <c r="D287" s="146"/>
      <c r="E287" s="147"/>
      <c r="F287" s="148"/>
      <c r="G287" s="133"/>
      <c r="H287" s="123"/>
      <c r="I287" s="123"/>
      <c r="J287" s="128"/>
      <c r="K287" s="197"/>
      <c r="L287" s="146"/>
      <c r="M287" s="149"/>
      <c r="N287" s="129">
        <f t="shared" si="12"/>
        <v>121983.56999999991</v>
      </c>
    </row>
    <row r="288" spans="1:14" ht="13.5" thickBot="1" x14ac:dyDescent="0.25">
      <c r="A288" s="131"/>
      <c r="B288" s="132"/>
      <c r="C288" s="122"/>
      <c r="D288" s="122"/>
      <c r="E288" s="122"/>
      <c r="F288" s="122"/>
      <c r="G288" s="133"/>
      <c r="H288" s="123"/>
      <c r="I288" s="123"/>
      <c r="J288" s="127"/>
      <c r="K288" s="128"/>
      <c r="L288" s="128"/>
      <c r="M288" s="149"/>
      <c r="N288" s="129"/>
    </row>
    <row r="289" spans="1:14" ht="13.5" thickBot="1" x14ac:dyDescent="0.25">
      <c r="A289" s="115"/>
      <c r="B289" s="116"/>
      <c r="C289" s="117"/>
      <c r="D289" s="117"/>
      <c r="E289" s="157"/>
      <c r="F289" s="158"/>
      <c r="G289" s="159"/>
      <c r="H289" s="160" t="s">
        <v>250</v>
      </c>
      <c r="I289" s="244"/>
      <c r="J289" s="161">
        <f>SUM(J226:J288)</f>
        <v>28380.5</v>
      </c>
      <c r="K289" s="162">
        <f>SUM(K226:K288)</f>
        <v>9081.76</v>
      </c>
      <c r="L289" s="163">
        <f>SUM(L226:L267)</f>
        <v>19298.740000000002</v>
      </c>
      <c r="M289" s="164">
        <f>SUM(M271:M288)</f>
        <v>7720</v>
      </c>
      <c r="N289" s="165"/>
    </row>
    <row r="290" spans="1:14" ht="13.5" thickBot="1" x14ac:dyDescent="0.25">
      <c r="A290" s="166"/>
      <c r="C290" s="168"/>
      <c r="D290" s="168"/>
      <c r="E290" s="169"/>
      <c r="F290" s="170"/>
      <c r="G290" s="171"/>
      <c r="H290" s="160" t="s">
        <v>13</v>
      </c>
      <c r="I290" s="314"/>
      <c r="J290" s="172"/>
      <c r="K290" s="173"/>
      <c r="L290" s="174"/>
      <c r="M290" s="174"/>
      <c r="N290" s="175">
        <f>+L289-M289+N225</f>
        <v>121983.56999999986</v>
      </c>
    </row>
    <row r="291" spans="1:14" x14ac:dyDescent="0.2">
      <c r="A291" s="166"/>
      <c r="C291" s="168"/>
      <c r="D291" s="168"/>
      <c r="E291" s="169"/>
      <c r="F291" s="170"/>
      <c r="G291" s="171"/>
      <c r="H291" s="171"/>
      <c r="I291" s="171"/>
      <c r="J291" s="189"/>
      <c r="K291" s="188"/>
      <c r="L291" s="180"/>
      <c r="M291" s="180"/>
      <c r="N291" s="189"/>
    </row>
    <row r="292" spans="1:14" x14ac:dyDescent="0.2">
      <c r="A292" s="527" t="s">
        <v>95</v>
      </c>
      <c r="B292" s="528"/>
      <c r="C292" s="528"/>
      <c r="D292" s="528"/>
      <c r="E292" s="528"/>
      <c r="F292" s="528"/>
      <c r="G292" s="528"/>
      <c r="H292" s="528"/>
      <c r="I292" s="528"/>
      <c r="J292" s="528"/>
      <c r="K292" s="528"/>
      <c r="L292" s="528"/>
      <c r="M292" s="528"/>
      <c r="N292" s="529"/>
    </row>
    <row r="293" spans="1:14" x14ac:dyDescent="0.2">
      <c r="A293" s="530"/>
      <c r="B293" s="531"/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2"/>
    </row>
    <row r="294" spans="1:14" ht="15" x14ac:dyDescent="0.25">
      <c r="A294" s="533" t="s">
        <v>251</v>
      </c>
      <c r="B294" s="534"/>
      <c r="C294" s="534"/>
      <c r="D294" s="534"/>
      <c r="E294" s="534"/>
      <c r="F294" s="534"/>
      <c r="G294" s="534"/>
      <c r="H294" s="534"/>
      <c r="I294" s="534"/>
      <c r="J294" s="534"/>
      <c r="K294" s="534"/>
      <c r="L294" s="534"/>
      <c r="M294" s="534"/>
      <c r="N294" s="534"/>
    </row>
    <row r="295" spans="1:14" x14ac:dyDescent="0.2">
      <c r="A295" s="115" t="s">
        <v>1</v>
      </c>
      <c r="B295" s="116" t="s">
        <v>2</v>
      </c>
      <c r="C295" s="117" t="s">
        <v>3</v>
      </c>
      <c r="D295" s="117" t="s">
        <v>4</v>
      </c>
      <c r="E295" s="117" t="s">
        <v>96</v>
      </c>
      <c r="F295" s="117" t="s">
        <v>5</v>
      </c>
      <c r="G295" s="118" t="s">
        <v>97</v>
      </c>
      <c r="H295" s="118" t="s">
        <v>6</v>
      </c>
      <c r="I295" s="118"/>
      <c r="J295" s="117" t="s">
        <v>7</v>
      </c>
      <c r="K295" s="117" t="s">
        <v>8</v>
      </c>
      <c r="L295" s="117" t="s">
        <v>9</v>
      </c>
      <c r="M295" s="119" t="s">
        <v>10</v>
      </c>
      <c r="N295" s="117" t="s">
        <v>11</v>
      </c>
    </row>
    <row r="296" spans="1:14" x14ac:dyDescent="0.2">
      <c r="A296" s="120"/>
      <c r="B296" s="121"/>
      <c r="C296" s="122"/>
      <c r="D296" s="122"/>
      <c r="E296" s="122"/>
      <c r="F296" s="122"/>
      <c r="G296" s="101"/>
      <c r="H296" s="123"/>
      <c r="I296" s="123"/>
      <c r="J296" s="124"/>
      <c r="K296" s="125"/>
      <c r="L296" s="125"/>
      <c r="M296" s="125"/>
      <c r="N296" s="124">
        <f>N290</f>
        <v>121983.56999999986</v>
      </c>
    </row>
    <row r="297" spans="1:14" ht="14.25" x14ac:dyDescent="0.2">
      <c r="A297" s="201">
        <v>43222</v>
      </c>
      <c r="B297" s="184" t="s">
        <v>252</v>
      </c>
      <c r="C297" s="126"/>
      <c r="D297" s="122"/>
      <c r="E297" s="122"/>
      <c r="F297" s="122"/>
      <c r="G297" s="126" t="s">
        <v>253</v>
      </c>
      <c r="H297" s="122"/>
      <c r="I297" s="122"/>
      <c r="J297" s="203">
        <v>164</v>
      </c>
      <c r="K297" s="182">
        <f>+J297*0.32</f>
        <v>52.480000000000004</v>
      </c>
      <c r="L297" s="182">
        <f>+J297*0.68</f>
        <v>111.52000000000001</v>
      </c>
      <c r="M297" s="128"/>
      <c r="N297" s="129">
        <f>+L297-M297+N296</f>
        <v>122095.08999999987</v>
      </c>
    </row>
    <row r="298" spans="1:14" ht="14.25" x14ac:dyDescent="0.2">
      <c r="A298" s="201">
        <v>43235</v>
      </c>
      <c r="B298" s="184" t="s">
        <v>252</v>
      </c>
      <c r="C298" s="126"/>
      <c r="D298" s="122"/>
      <c r="E298" s="122"/>
      <c r="F298" s="122"/>
      <c r="G298" s="126" t="s">
        <v>253</v>
      </c>
      <c r="H298" s="122"/>
      <c r="I298" s="122"/>
      <c r="J298" s="190">
        <v>164</v>
      </c>
      <c r="K298" s="182">
        <f>+J298*0.32</f>
        <v>52.480000000000004</v>
      </c>
      <c r="L298" s="182">
        <f>+J298*0.68</f>
        <v>111.52000000000001</v>
      </c>
      <c r="M298" s="128"/>
      <c r="N298" s="129">
        <f>+L298-M298+N297</f>
        <v>122206.60999999987</v>
      </c>
    </row>
    <row r="299" spans="1:14" ht="14.25" x14ac:dyDescent="0.2">
      <c r="A299" s="201">
        <v>43237</v>
      </c>
      <c r="B299" s="184" t="s">
        <v>254</v>
      </c>
      <c r="C299" s="126"/>
      <c r="D299" s="122"/>
      <c r="E299" s="183"/>
      <c r="F299" s="183"/>
      <c r="G299" s="126" t="s">
        <v>255</v>
      </c>
      <c r="H299" s="122"/>
      <c r="I299" s="122"/>
      <c r="J299" s="190">
        <v>308</v>
      </c>
      <c r="K299" s="182">
        <f t="shared" ref="K299:K308" si="13">+J299*0.32</f>
        <v>98.56</v>
      </c>
      <c r="L299" s="182">
        <f t="shared" ref="L299:L324" si="14">+J299*0.68</f>
        <v>209.44000000000003</v>
      </c>
      <c r="M299" s="128"/>
      <c r="N299" s="129">
        <f t="shared" ref="N299:N340" si="15">+L299-M299+N298</f>
        <v>122416.04999999987</v>
      </c>
    </row>
    <row r="300" spans="1:14" ht="14.25" x14ac:dyDescent="0.2">
      <c r="A300" s="201">
        <v>43238</v>
      </c>
      <c r="B300" s="184" t="s">
        <v>254</v>
      </c>
      <c r="C300" s="126"/>
      <c r="D300" s="122"/>
      <c r="E300" s="122"/>
      <c r="F300" s="122"/>
      <c r="G300" s="126" t="s">
        <v>255</v>
      </c>
      <c r="H300" s="122"/>
      <c r="I300" s="122"/>
      <c r="J300" s="190">
        <v>924</v>
      </c>
      <c r="K300" s="182">
        <f t="shared" si="13"/>
        <v>295.68</v>
      </c>
      <c r="L300" s="182">
        <f t="shared" si="14"/>
        <v>628.32000000000005</v>
      </c>
      <c r="M300" s="128"/>
      <c r="N300" s="129">
        <f t="shared" si="15"/>
        <v>123044.36999999988</v>
      </c>
    </row>
    <row r="301" spans="1:14" ht="14.25" x14ac:dyDescent="0.2">
      <c r="A301" s="201">
        <v>43239</v>
      </c>
      <c r="B301" s="184" t="s">
        <v>254</v>
      </c>
      <c r="C301" s="126"/>
      <c r="D301" s="122"/>
      <c r="E301" s="122"/>
      <c r="F301" s="122"/>
      <c r="G301" s="126" t="s">
        <v>255</v>
      </c>
      <c r="H301" s="122"/>
      <c r="I301" s="122"/>
      <c r="J301" s="190">
        <v>308</v>
      </c>
      <c r="K301" s="182">
        <f t="shared" si="13"/>
        <v>98.56</v>
      </c>
      <c r="L301" s="182">
        <f t="shared" si="14"/>
        <v>209.44000000000003</v>
      </c>
      <c r="M301" s="128"/>
      <c r="N301" s="129">
        <f t="shared" si="15"/>
        <v>123253.80999999988</v>
      </c>
    </row>
    <row r="302" spans="1:14" ht="14.25" x14ac:dyDescent="0.2">
      <c r="A302" s="201">
        <v>43241</v>
      </c>
      <c r="B302" s="184" t="s">
        <v>254</v>
      </c>
      <c r="C302" s="126"/>
      <c r="D302" s="122"/>
      <c r="E302" s="122"/>
      <c r="F302" s="122"/>
      <c r="G302" s="126" t="s">
        <v>255</v>
      </c>
      <c r="H302" s="122"/>
      <c r="I302" s="122"/>
      <c r="J302" s="190">
        <v>360</v>
      </c>
      <c r="K302" s="182">
        <f t="shared" si="13"/>
        <v>115.2</v>
      </c>
      <c r="L302" s="182">
        <f t="shared" si="14"/>
        <v>244.8</v>
      </c>
      <c r="M302" s="128"/>
      <c r="N302" s="129">
        <f t="shared" si="15"/>
        <v>123498.60999999988</v>
      </c>
    </row>
    <row r="303" spans="1:14" ht="14.25" x14ac:dyDescent="0.2">
      <c r="A303" s="201">
        <v>43242</v>
      </c>
      <c r="B303" s="184" t="s">
        <v>254</v>
      </c>
      <c r="C303" s="126"/>
      <c r="D303" s="122"/>
      <c r="E303" s="122"/>
      <c r="F303" s="122"/>
      <c r="G303" s="126" t="s">
        <v>255</v>
      </c>
      <c r="H303" s="122"/>
      <c r="I303" s="122"/>
      <c r="J303" s="190">
        <v>144</v>
      </c>
      <c r="K303" s="182">
        <f t="shared" si="13"/>
        <v>46.08</v>
      </c>
      <c r="L303" s="182">
        <f t="shared" si="14"/>
        <v>97.92</v>
      </c>
      <c r="M303" s="128"/>
      <c r="N303" s="129">
        <f t="shared" si="15"/>
        <v>123596.52999999988</v>
      </c>
    </row>
    <row r="304" spans="1:14" ht="14.25" x14ac:dyDescent="0.2">
      <c r="A304" s="201">
        <v>43243</v>
      </c>
      <c r="B304" s="184" t="s">
        <v>254</v>
      </c>
      <c r="C304" s="126"/>
      <c r="D304" s="122"/>
      <c r="E304" s="122"/>
      <c r="F304" s="122"/>
      <c r="G304" s="126" t="s">
        <v>255</v>
      </c>
      <c r="H304" s="122"/>
      <c r="I304" s="122"/>
      <c r="J304" s="190">
        <v>452</v>
      </c>
      <c r="K304" s="182">
        <f t="shared" si="13"/>
        <v>144.64000000000001</v>
      </c>
      <c r="L304" s="182">
        <f t="shared" si="14"/>
        <v>307.36</v>
      </c>
      <c r="M304" s="128"/>
      <c r="N304" s="129">
        <f t="shared" si="15"/>
        <v>123903.88999999988</v>
      </c>
    </row>
    <row r="305" spans="1:14" ht="14.25" x14ac:dyDescent="0.2">
      <c r="A305" s="201">
        <v>43244</v>
      </c>
      <c r="B305" s="184" t="s">
        <v>254</v>
      </c>
      <c r="C305" s="126"/>
      <c r="D305" s="122"/>
      <c r="E305" s="122"/>
      <c r="F305" s="122"/>
      <c r="G305" s="126" t="s">
        <v>255</v>
      </c>
      <c r="H305" s="122"/>
      <c r="I305" s="122"/>
      <c r="J305" s="190">
        <v>308</v>
      </c>
      <c r="K305" s="182">
        <f t="shared" si="13"/>
        <v>98.56</v>
      </c>
      <c r="L305" s="182">
        <f t="shared" si="14"/>
        <v>209.44000000000003</v>
      </c>
      <c r="M305" s="128"/>
      <c r="N305" s="129">
        <f t="shared" si="15"/>
        <v>124113.32999999989</v>
      </c>
    </row>
    <row r="306" spans="1:14" ht="14.25" x14ac:dyDescent="0.2">
      <c r="A306" s="201">
        <v>43245</v>
      </c>
      <c r="B306" s="184" t="s">
        <v>254</v>
      </c>
      <c r="C306" s="126"/>
      <c r="D306" s="122"/>
      <c r="E306" s="122"/>
      <c r="F306" s="122"/>
      <c r="G306" s="126" t="s">
        <v>255</v>
      </c>
      <c r="H306" s="122"/>
      <c r="I306" s="122"/>
      <c r="J306" s="190">
        <v>144</v>
      </c>
      <c r="K306" s="182">
        <f t="shared" si="13"/>
        <v>46.08</v>
      </c>
      <c r="L306" s="182">
        <f t="shared" si="14"/>
        <v>97.92</v>
      </c>
      <c r="M306" s="128"/>
      <c r="N306" s="129">
        <f t="shared" si="15"/>
        <v>124211.24999999988</v>
      </c>
    </row>
    <row r="307" spans="1:14" ht="14.25" x14ac:dyDescent="0.2">
      <c r="A307" s="201">
        <v>43246</v>
      </c>
      <c r="B307" s="184" t="s">
        <v>254</v>
      </c>
      <c r="C307" s="126"/>
      <c r="D307" s="135"/>
      <c r="E307" s="122"/>
      <c r="F307" s="122"/>
      <c r="G307" s="126" t="s">
        <v>255</v>
      </c>
      <c r="H307" s="135"/>
      <c r="I307" s="135"/>
      <c r="J307" s="190">
        <v>450</v>
      </c>
      <c r="K307" s="182">
        <f t="shared" si="13"/>
        <v>144</v>
      </c>
      <c r="L307" s="182">
        <f t="shared" si="14"/>
        <v>306</v>
      </c>
      <c r="M307" s="128"/>
      <c r="N307" s="129">
        <f t="shared" si="15"/>
        <v>124517.24999999988</v>
      </c>
    </row>
    <row r="308" spans="1:14" ht="14.25" x14ac:dyDescent="0.2">
      <c r="A308" s="201">
        <v>43248</v>
      </c>
      <c r="B308" s="184" t="s">
        <v>254</v>
      </c>
      <c r="C308" s="126"/>
      <c r="D308" s="135"/>
      <c r="E308" s="122"/>
      <c r="F308" s="122"/>
      <c r="G308" s="126" t="s">
        <v>255</v>
      </c>
      <c r="H308" s="135"/>
      <c r="I308" s="135"/>
      <c r="J308" s="203">
        <v>308</v>
      </c>
      <c r="K308" s="182">
        <f t="shared" si="13"/>
        <v>98.56</v>
      </c>
      <c r="L308" s="182">
        <f t="shared" si="14"/>
        <v>209.44000000000003</v>
      </c>
      <c r="M308" s="128"/>
      <c r="N308" s="129">
        <f t="shared" si="15"/>
        <v>124726.68999999989</v>
      </c>
    </row>
    <row r="309" spans="1:14" ht="14.25" x14ac:dyDescent="0.2">
      <c r="A309" s="201">
        <v>43251</v>
      </c>
      <c r="B309" s="184" t="s">
        <v>254</v>
      </c>
      <c r="C309" s="126"/>
      <c r="D309" s="135"/>
      <c r="E309" s="122"/>
      <c r="F309" s="122"/>
      <c r="G309" s="126" t="s">
        <v>255</v>
      </c>
      <c r="H309" s="135"/>
      <c r="I309" s="135"/>
      <c r="J309" s="203">
        <v>678</v>
      </c>
      <c r="K309" s="182">
        <f>+J309*0.32</f>
        <v>216.96</v>
      </c>
      <c r="L309" s="182">
        <f t="shared" si="14"/>
        <v>461.04</v>
      </c>
      <c r="M309" s="128"/>
      <c r="N309" s="129">
        <f t="shared" si="15"/>
        <v>125187.72999999988</v>
      </c>
    </row>
    <row r="310" spans="1:14" ht="14.25" x14ac:dyDescent="0.2">
      <c r="A310" s="201">
        <v>43588</v>
      </c>
      <c r="B310" s="184"/>
      <c r="C310" s="126"/>
      <c r="D310" s="135"/>
      <c r="E310" s="122"/>
      <c r="F310" s="122"/>
      <c r="G310" s="126"/>
      <c r="H310" s="135"/>
      <c r="I310" s="135"/>
      <c r="J310" s="202">
        <v>860</v>
      </c>
      <c r="K310" s="182">
        <f t="shared" ref="K310:K324" si="16">+J310*0.32</f>
        <v>275.2</v>
      </c>
      <c r="L310" s="182">
        <f t="shared" si="14"/>
        <v>584.80000000000007</v>
      </c>
      <c r="M310" s="128"/>
      <c r="N310" s="129">
        <f t="shared" si="15"/>
        <v>125772.52999999988</v>
      </c>
    </row>
    <row r="311" spans="1:14" ht="14.25" x14ac:dyDescent="0.2">
      <c r="A311" s="201">
        <v>43590</v>
      </c>
      <c r="B311" s="184"/>
      <c r="C311" s="126"/>
      <c r="D311" s="135"/>
      <c r="E311" s="211"/>
      <c r="F311" s="122"/>
      <c r="G311" s="126"/>
      <c r="H311" s="135"/>
      <c r="I311" s="135"/>
      <c r="J311" s="202">
        <v>164</v>
      </c>
      <c r="K311" s="182">
        <f t="shared" si="16"/>
        <v>52.480000000000004</v>
      </c>
      <c r="L311" s="182">
        <f t="shared" si="14"/>
        <v>111.52000000000001</v>
      </c>
      <c r="M311" s="128"/>
      <c r="N311" s="129">
        <f t="shared" si="15"/>
        <v>125884.04999999989</v>
      </c>
    </row>
    <row r="312" spans="1:14" ht="14.25" x14ac:dyDescent="0.2">
      <c r="A312" s="201">
        <v>43595</v>
      </c>
      <c r="B312" s="184"/>
      <c r="C312" s="126"/>
      <c r="D312" s="135"/>
      <c r="E312" s="211"/>
      <c r="F312" s="122"/>
      <c r="G312" s="126"/>
      <c r="H312" s="135"/>
      <c r="I312" s="135"/>
      <c r="J312" s="202">
        <v>318</v>
      </c>
      <c r="K312" s="182">
        <f t="shared" si="16"/>
        <v>101.76</v>
      </c>
      <c r="L312" s="182">
        <f t="shared" si="14"/>
        <v>216.24</v>
      </c>
      <c r="M312" s="128"/>
      <c r="N312" s="129">
        <f t="shared" si="15"/>
        <v>126100.28999999989</v>
      </c>
    </row>
    <row r="313" spans="1:14" ht="14.25" x14ac:dyDescent="0.2">
      <c r="A313" s="201">
        <v>43596</v>
      </c>
      <c r="B313" s="184"/>
      <c r="C313" s="126"/>
      <c r="D313" s="135"/>
      <c r="E313" s="211"/>
      <c r="F313" s="122"/>
      <c r="G313" s="126"/>
      <c r="H313" s="135"/>
      <c r="I313" s="135"/>
      <c r="J313" s="202">
        <v>20</v>
      </c>
      <c r="K313" s="182">
        <f t="shared" si="16"/>
        <v>6.4</v>
      </c>
      <c r="L313" s="182">
        <f t="shared" si="14"/>
        <v>13.600000000000001</v>
      </c>
      <c r="M313" s="128"/>
      <c r="N313" s="129">
        <f t="shared" si="15"/>
        <v>126113.8899999999</v>
      </c>
    </row>
    <row r="314" spans="1:14" ht="14.25" x14ac:dyDescent="0.2">
      <c r="A314" s="201">
        <v>43569</v>
      </c>
      <c r="B314" s="184"/>
      <c r="C314" s="126"/>
      <c r="D314" s="135"/>
      <c r="E314" s="211"/>
      <c r="F314" s="122"/>
      <c r="G314" s="126"/>
      <c r="H314" s="135"/>
      <c r="I314" s="135"/>
      <c r="J314" s="202">
        <v>284</v>
      </c>
      <c r="K314" s="182">
        <f t="shared" si="16"/>
        <v>90.88</v>
      </c>
      <c r="L314" s="182">
        <f t="shared" si="14"/>
        <v>193.12</v>
      </c>
      <c r="M314" s="128"/>
      <c r="N314" s="129">
        <f t="shared" si="15"/>
        <v>126307.00999999989</v>
      </c>
    </row>
    <row r="315" spans="1:14" ht="14.25" x14ac:dyDescent="0.2">
      <c r="A315" s="201">
        <v>43571</v>
      </c>
      <c r="B315" s="184"/>
      <c r="C315" s="126"/>
      <c r="D315" s="135"/>
      <c r="E315" s="211"/>
      <c r="F315" s="122"/>
      <c r="G315" s="126"/>
      <c r="H315" s="135"/>
      <c r="I315" s="135"/>
      <c r="J315" s="202">
        <v>1252</v>
      </c>
      <c r="K315" s="182">
        <f t="shared" si="16"/>
        <v>400.64</v>
      </c>
      <c r="L315" s="182">
        <f t="shared" si="14"/>
        <v>851.36</v>
      </c>
      <c r="M315" s="128"/>
      <c r="N315" s="129">
        <f t="shared" si="15"/>
        <v>127158.36999999989</v>
      </c>
    </row>
    <row r="316" spans="1:14" ht="14.25" x14ac:dyDescent="0.2">
      <c r="A316" s="201">
        <v>43573</v>
      </c>
      <c r="B316" s="184"/>
      <c r="C316" s="126"/>
      <c r="D316" s="135"/>
      <c r="E316" s="211"/>
      <c r="F316" s="122"/>
      <c r="G316" s="126"/>
      <c r="H316" s="135"/>
      <c r="I316" s="135"/>
      <c r="J316" s="202">
        <v>616</v>
      </c>
      <c r="K316" s="182">
        <f t="shared" si="16"/>
        <v>197.12</v>
      </c>
      <c r="L316" s="182">
        <f t="shared" si="14"/>
        <v>418.88000000000005</v>
      </c>
      <c r="M316" s="128"/>
      <c r="N316" s="129">
        <f t="shared" si="15"/>
        <v>127577.2499999999</v>
      </c>
    </row>
    <row r="317" spans="1:14" ht="14.25" x14ac:dyDescent="0.2">
      <c r="A317" s="201">
        <v>43606</v>
      </c>
      <c r="B317" s="184"/>
      <c r="C317" s="126"/>
      <c r="D317" s="135"/>
      <c r="E317" s="211"/>
      <c r="F317" s="122"/>
      <c r="G317" s="126"/>
      <c r="H317" s="135"/>
      <c r="I317" s="135"/>
      <c r="J317" s="202">
        <v>616</v>
      </c>
      <c r="K317" s="182">
        <f t="shared" si="16"/>
        <v>197.12</v>
      </c>
      <c r="L317" s="182">
        <f t="shared" si="14"/>
        <v>418.88000000000005</v>
      </c>
      <c r="M317" s="128"/>
      <c r="N317" s="129">
        <f t="shared" si="15"/>
        <v>127996.1299999999</v>
      </c>
    </row>
    <row r="318" spans="1:14" ht="14.25" x14ac:dyDescent="0.2">
      <c r="A318" s="201">
        <v>43607</v>
      </c>
      <c r="B318" s="184"/>
      <c r="C318" s="126"/>
      <c r="D318" s="135"/>
      <c r="E318" s="211"/>
      <c r="F318" s="122"/>
      <c r="G318" s="126"/>
      <c r="H318" s="135"/>
      <c r="I318" s="135"/>
      <c r="J318" s="202">
        <v>458</v>
      </c>
      <c r="K318" s="182">
        <f t="shared" si="16"/>
        <v>146.56</v>
      </c>
      <c r="L318" s="182">
        <f t="shared" si="14"/>
        <v>311.44</v>
      </c>
      <c r="M318" s="128"/>
      <c r="N318" s="129">
        <f t="shared" si="15"/>
        <v>128307.56999999991</v>
      </c>
    </row>
    <row r="319" spans="1:14" ht="14.25" x14ac:dyDescent="0.2">
      <c r="A319" s="201">
        <v>43608</v>
      </c>
      <c r="B319" s="184"/>
      <c r="C319" s="126"/>
      <c r="D319" s="135"/>
      <c r="E319" s="211"/>
      <c r="F319" s="122"/>
      <c r="G319" s="126"/>
      <c r="H319" s="135"/>
      <c r="I319" s="135"/>
      <c r="J319" s="202">
        <v>808</v>
      </c>
      <c r="K319" s="182">
        <f t="shared" si="16"/>
        <v>258.56</v>
      </c>
      <c r="L319" s="182">
        <f t="shared" si="14"/>
        <v>549.44000000000005</v>
      </c>
      <c r="M319" s="128"/>
      <c r="N319" s="129">
        <f t="shared" si="15"/>
        <v>128857.00999999991</v>
      </c>
    </row>
    <row r="320" spans="1:14" ht="14.25" x14ac:dyDescent="0.2">
      <c r="A320" s="201">
        <v>43609</v>
      </c>
      <c r="B320" s="184"/>
      <c r="C320" s="126"/>
      <c r="D320" s="135"/>
      <c r="E320" s="211"/>
      <c r="F320" s="122"/>
      <c r="G320" s="126"/>
      <c r="H320" s="135"/>
      <c r="I320" s="135"/>
      <c r="J320" s="202">
        <v>460</v>
      </c>
      <c r="K320" s="182">
        <f t="shared" si="16"/>
        <v>147.20000000000002</v>
      </c>
      <c r="L320" s="182">
        <f t="shared" si="14"/>
        <v>312.8</v>
      </c>
      <c r="M320" s="128"/>
      <c r="N320" s="129">
        <f t="shared" si="15"/>
        <v>129169.80999999991</v>
      </c>
    </row>
    <row r="321" spans="1:14" ht="14.25" x14ac:dyDescent="0.2">
      <c r="A321" s="201">
        <v>43610</v>
      </c>
      <c r="B321" s="184"/>
      <c r="C321" s="126"/>
      <c r="D321" s="135"/>
      <c r="E321" s="211"/>
      <c r="F321" s="122"/>
      <c r="G321" s="126"/>
      <c r="H321" s="135"/>
      <c r="I321" s="135"/>
      <c r="J321" s="202">
        <v>370</v>
      </c>
      <c r="K321" s="182">
        <f t="shared" si="16"/>
        <v>118.4</v>
      </c>
      <c r="L321" s="182">
        <f t="shared" si="14"/>
        <v>251.60000000000002</v>
      </c>
      <c r="M321" s="128"/>
      <c r="N321" s="129">
        <f t="shared" si="15"/>
        <v>129421.40999999992</v>
      </c>
    </row>
    <row r="322" spans="1:14" ht="14.25" x14ac:dyDescent="0.2">
      <c r="A322" s="201">
        <v>43613</v>
      </c>
      <c r="B322" s="184"/>
      <c r="C322" s="126"/>
      <c r="D322" s="135"/>
      <c r="E322" s="211"/>
      <c r="F322" s="122"/>
      <c r="G322" s="126"/>
      <c r="H322" s="135"/>
      <c r="I322" s="135"/>
      <c r="J322" s="202">
        <v>308</v>
      </c>
      <c r="K322" s="182">
        <f t="shared" si="16"/>
        <v>98.56</v>
      </c>
      <c r="L322" s="182">
        <f t="shared" si="14"/>
        <v>209.44000000000003</v>
      </c>
      <c r="M322" s="128"/>
      <c r="N322" s="129">
        <f t="shared" si="15"/>
        <v>129630.84999999992</v>
      </c>
    </row>
    <row r="323" spans="1:14" ht="14.25" x14ac:dyDescent="0.2">
      <c r="A323" s="201">
        <v>43615</v>
      </c>
      <c r="B323" s="184"/>
      <c r="C323" s="126"/>
      <c r="D323" s="135"/>
      <c r="E323" s="211"/>
      <c r="F323" s="122"/>
      <c r="G323" s="126"/>
      <c r="H323" s="135"/>
      <c r="I323" s="135"/>
      <c r="J323" s="202">
        <v>144</v>
      </c>
      <c r="K323" s="182">
        <f t="shared" si="16"/>
        <v>46.08</v>
      </c>
      <c r="L323" s="182">
        <f t="shared" si="14"/>
        <v>97.92</v>
      </c>
      <c r="M323" s="128"/>
      <c r="N323" s="129">
        <f t="shared" si="15"/>
        <v>129728.76999999992</v>
      </c>
    </row>
    <row r="324" spans="1:14" ht="14.25" x14ac:dyDescent="0.2">
      <c r="A324" s="201">
        <v>43616</v>
      </c>
      <c r="B324" s="184"/>
      <c r="C324" s="126"/>
      <c r="D324" s="135"/>
      <c r="E324" s="211"/>
      <c r="F324" s="122"/>
      <c r="G324" s="126"/>
      <c r="H324" s="135"/>
      <c r="I324" s="135"/>
      <c r="J324" s="202">
        <v>800</v>
      </c>
      <c r="K324" s="182">
        <f t="shared" si="16"/>
        <v>256</v>
      </c>
      <c r="L324" s="182">
        <f t="shared" si="14"/>
        <v>544</v>
      </c>
      <c r="M324" s="128"/>
      <c r="N324" s="129">
        <f t="shared" si="15"/>
        <v>130272.76999999992</v>
      </c>
    </row>
    <row r="325" spans="1:14" ht="14.25" x14ac:dyDescent="0.2">
      <c r="A325" s="201"/>
      <c r="B325" s="184"/>
      <c r="C325" s="126"/>
      <c r="D325" s="135"/>
      <c r="E325" s="211"/>
      <c r="F325" s="122"/>
      <c r="G325" s="126"/>
      <c r="H325" s="135"/>
      <c r="I325" s="135"/>
      <c r="J325" s="202"/>
      <c r="K325" s="182"/>
      <c r="L325" s="182"/>
      <c r="M325" s="128"/>
      <c r="N325" s="129">
        <f t="shared" si="15"/>
        <v>130272.76999999992</v>
      </c>
    </row>
    <row r="326" spans="1:14" x14ac:dyDescent="0.2">
      <c r="A326" s="131"/>
      <c r="B326" s="212"/>
      <c r="C326" s="122"/>
      <c r="D326" s="122"/>
      <c r="F326" s="122"/>
      <c r="G326" s="133"/>
      <c r="H326" s="123"/>
      <c r="I326" s="123"/>
      <c r="J326" s="127"/>
      <c r="K326" s="128"/>
      <c r="L326" s="128"/>
      <c r="M326" s="128"/>
      <c r="N326" s="129">
        <f t="shared" si="15"/>
        <v>130272.76999999992</v>
      </c>
    </row>
    <row r="327" spans="1:14" ht="15" x14ac:dyDescent="0.25">
      <c r="A327" s="533" t="s">
        <v>256</v>
      </c>
      <c r="B327" s="534"/>
      <c r="C327" s="534"/>
      <c r="D327" s="534"/>
      <c r="E327" s="534"/>
      <c r="F327" s="534"/>
      <c r="G327" s="534"/>
      <c r="H327" s="534"/>
      <c r="I327" s="534"/>
      <c r="J327" s="534"/>
      <c r="K327" s="534"/>
      <c r="L327" s="534"/>
      <c r="M327" s="534"/>
      <c r="N327" s="129">
        <f t="shared" si="15"/>
        <v>130272.76999999992</v>
      </c>
    </row>
    <row r="328" spans="1:14" ht="15" x14ac:dyDescent="0.25">
      <c r="A328" s="213">
        <v>43249</v>
      </c>
      <c r="B328" s="214"/>
      <c r="C328" s="215" t="s">
        <v>257</v>
      </c>
      <c r="D328" s="214"/>
      <c r="E328" s="215"/>
      <c r="F328" s="215"/>
      <c r="G328" s="216" t="s">
        <v>258</v>
      </c>
      <c r="J328" s="216" t="s">
        <v>259</v>
      </c>
      <c r="K328" s="216"/>
      <c r="L328" s="216"/>
      <c r="M328" s="129">
        <v>500</v>
      </c>
      <c r="N328" s="129">
        <f t="shared" si="15"/>
        <v>129772.76999999992</v>
      </c>
    </row>
    <row r="329" spans="1:14" x14ac:dyDescent="0.2">
      <c r="A329" s="131">
        <v>43249</v>
      </c>
      <c r="B329" s="151" t="s">
        <v>260</v>
      </c>
      <c r="C329" s="152"/>
      <c r="D329" s="186" t="s">
        <v>261</v>
      </c>
      <c r="E329" s="122"/>
      <c r="F329" s="122"/>
      <c r="G329" s="133" t="s">
        <v>262</v>
      </c>
      <c r="H329" s="123" t="s">
        <v>263</v>
      </c>
      <c r="I329" s="123"/>
      <c r="J329" s="127"/>
      <c r="K329" s="128"/>
      <c r="L329" s="128"/>
      <c r="M329" s="129">
        <v>2500</v>
      </c>
      <c r="N329" s="129">
        <f t="shared" si="15"/>
        <v>127272.76999999992</v>
      </c>
    </row>
    <row r="330" spans="1:14" x14ac:dyDescent="0.2">
      <c r="A330" s="185">
        <v>43249</v>
      </c>
      <c r="B330" s="151" t="s">
        <v>264</v>
      </c>
      <c r="C330" s="152"/>
      <c r="D330" s="186" t="s">
        <v>265</v>
      </c>
      <c r="E330" s="122"/>
      <c r="F330" s="146"/>
      <c r="G330" s="147" t="s">
        <v>266</v>
      </c>
      <c r="H330" s="148" t="s">
        <v>267</v>
      </c>
      <c r="I330" s="148"/>
      <c r="J330" s="127"/>
      <c r="K330" s="128"/>
      <c r="L330" s="128"/>
      <c r="M330" s="149">
        <v>400</v>
      </c>
      <c r="N330" s="129">
        <f t="shared" si="15"/>
        <v>126872.76999999992</v>
      </c>
    </row>
    <row r="331" spans="1:14" x14ac:dyDescent="0.2">
      <c r="A331" s="185">
        <v>43251</v>
      </c>
      <c r="B331" s="151" t="s">
        <v>268</v>
      </c>
      <c r="C331" s="152"/>
      <c r="D331" s="186" t="s">
        <v>269</v>
      </c>
      <c r="E331" s="122"/>
      <c r="F331" s="146"/>
      <c r="G331" s="147" t="s">
        <v>270</v>
      </c>
      <c r="H331" s="148" t="s">
        <v>271</v>
      </c>
      <c r="I331" s="148"/>
      <c r="J331" s="127"/>
      <c r="K331" s="128"/>
      <c r="L331" s="128"/>
      <c r="M331" s="149">
        <v>300</v>
      </c>
      <c r="N331" s="129">
        <f t="shared" si="15"/>
        <v>126572.76999999992</v>
      </c>
    </row>
    <row r="332" spans="1:14" x14ac:dyDescent="0.2">
      <c r="A332" s="131">
        <v>43259</v>
      </c>
      <c r="B332" s="217" t="s">
        <v>272</v>
      </c>
      <c r="C332" s="195"/>
      <c r="D332" s="218" t="s">
        <v>273</v>
      </c>
      <c r="E332" s="122"/>
      <c r="F332" s="122"/>
      <c r="G332" s="133" t="s">
        <v>274</v>
      </c>
      <c r="H332" s="123" t="s">
        <v>275</v>
      </c>
      <c r="I332" s="123"/>
      <c r="J332" s="127"/>
      <c r="K332" s="128"/>
      <c r="L332" s="128"/>
      <c r="M332" s="149">
        <v>600</v>
      </c>
      <c r="N332" s="129">
        <f t="shared" si="15"/>
        <v>125972.76999999992</v>
      </c>
    </row>
    <row r="333" spans="1:14" x14ac:dyDescent="0.2">
      <c r="A333" s="131">
        <v>43259</v>
      </c>
      <c r="B333" s="151" t="s">
        <v>276</v>
      </c>
      <c r="C333" s="152"/>
      <c r="D333" s="186" t="s">
        <v>277</v>
      </c>
      <c r="E333" s="122"/>
      <c r="F333" s="122"/>
      <c r="G333" s="133" t="s">
        <v>278</v>
      </c>
      <c r="H333" s="123" t="s">
        <v>279</v>
      </c>
      <c r="I333" s="123"/>
      <c r="J333" s="127"/>
      <c r="K333" s="128"/>
      <c r="L333" s="128"/>
      <c r="M333" s="149">
        <v>1040</v>
      </c>
      <c r="N333" s="129">
        <f t="shared" si="15"/>
        <v>124932.76999999992</v>
      </c>
    </row>
    <row r="334" spans="1:14" x14ac:dyDescent="0.2">
      <c r="A334" s="219">
        <v>43263</v>
      </c>
      <c r="B334" s="220" t="s">
        <v>280</v>
      </c>
      <c r="C334" s="221"/>
      <c r="D334" s="222" t="s">
        <v>281</v>
      </c>
      <c r="E334" s="223"/>
      <c r="F334" s="223"/>
      <c r="G334" s="224" t="s">
        <v>282</v>
      </c>
      <c r="H334" s="225" t="s">
        <v>283</v>
      </c>
      <c r="I334" s="234"/>
      <c r="J334" s="226"/>
      <c r="K334" s="227"/>
      <c r="L334" s="228"/>
      <c r="M334" s="229">
        <v>1040</v>
      </c>
      <c r="N334" s="129">
        <f t="shared" si="15"/>
        <v>123892.76999999992</v>
      </c>
    </row>
    <row r="335" spans="1:14" x14ac:dyDescent="0.2">
      <c r="A335" s="131">
        <v>43263</v>
      </c>
      <c r="B335" s="151" t="s">
        <v>284</v>
      </c>
      <c r="C335" s="152"/>
      <c r="D335" s="186" t="s">
        <v>285</v>
      </c>
      <c r="E335" s="122"/>
      <c r="F335" s="122"/>
      <c r="G335" s="133" t="s">
        <v>286</v>
      </c>
      <c r="H335" s="123" t="s">
        <v>287</v>
      </c>
      <c r="I335" s="123"/>
      <c r="J335" s="127"/>
      <c r="K335" s="128"/>
      <c r="L335" s="128"/>
      <c r="M335" s="149">
        <v>1040</v>
      </c>
      <c r="N335" s="129">
        <f t="shared" si="15"/>
        <v>122852.76999999992</v>
      </c>
    </row>
    <row r="336" spans="1:14" x14ac:dyDescent="0.2">
      <c r="A336" s="131">
        <v>43276</v>
      </c>
      <c r="B336" s="151" t="s">
        <v>288</v>
      </c>
      <c r="C336" s="152"/>
      <c r="D336" s="186" t="s">
        <v>289</v>
      </c>
      <c r="E336" s="122"/>
      <c r="F336" s="122"/>
      <c r="G336" s="133" t="s">
        <v>290</v>
      </c>
      <c r="H336" s="123" t="s">
        <v>291</v>
      </c>
      <c r="I336" s="123"/>
      <c r="J336" s="127"/>
      <c r="K336" s="128"/>
      <c r="L336" s="128"/>
      <c r="M336" s="149">
        <v>1700</v>
      </c>
      <c r="N336" s="129">
        <f t="shared" si="15"/>
        <v>121152.76999999992</v>
      </c>
    </row>
    <row r="337" spans="1:14" x14ac:dyDescent="0.2">
      <c r="A337" s="131">
        <v>43276</v>
      </c>
      <c r="B337" s="151" t="s">
        <v>292</v>
      </c>
      <c r="C337" s="152"/>
      <c r="D337" s="186" t="s">
        <v>293</v>
      </c>
      <c r="E337" s="122"/>
      <c r="F337" s="122"/>
      <c r="G337" s="133" t="s">
        <v>290</v>
      </c>
      <c r="H337" s="123" t="s">
        <v>294</v>
      </c>
      <c r="I337" s="123"/>
      <c r="J337" s="127"/>
      <c r="K337" s="128"/>
      <c r="L337" s="128"/>
      <c r="M337" s="149">
        <v>950</v>
      </c>
      <c r="N337" s="129">
        <f t="shared" si="15"/>
        <v>120202.76999999992</v>
      </c>
    </row>
    <row r="338" spans="1:14" x14ac:dyDescent="0.2">
      <c r="A338" s="131">
        <v>43276</v>
      </c>
      <c r="B338" s="151" t="s">
        <v>295</v>
      </c>
      <c r="C338" s="152"/>
      <c r="D338" s="186" t="s">
        <v>296</v>
      </c>
      <c r="E338" s="122"/>
      <c r="F338" s="122"/>
      <c r="G338" s="133" t="s">
        <v>290</v>
      </c>
      <c r="H338" s="123" t="s">
        <v>297</v>
      </c>
      <c r="I338" s="123"/>
      <c r="J338" s="127"/>
      <c r="K338" s="128"/>
      <c r="L338" s="128"/>
      <c r="M338" s="149">
        <v>850</v>
      </c>
      <c r="N338" s="129">
        <f t="shared" si="15"/>
        <v>119352.76999999992</v>
      </c>
    </row>
    <row r="339" spans="1:14" x14ac:dyDescent="0.2">
      <c r="A339" s="131">
        <v>43276</v>
      </c>
      <c r="B339" s="151" t="s">
        <v>298</v>
      </c>
      <c r="C339" s="152"/>
      <c r="D339" s="186" t="s">
        <v>299</v>
      </c>
      <c r="E339" s="122"/>
      <c r="F339" s="122"/>
      <c r="G339" s="133" t="s">
        <v>300</v>
      </c>
      <c r="H339" s="123" t="s">
        <v>301</v>
      </c>
      <c r="I339" s="123"/>
      <c r="J339" s="127"/>
      <c r="K339" s="128"/>
      <c r="L339" s="128"/>
      <c r="M339" s="149">
        <v>800</v>
      </c>
      <c r="N339" s="129">
        <f t="shared" si="15"/>
        <v>118552.76999999992</v>
      </c>
    </row>
    <row r="340" spans="1:14" x14ac:dyDescent="0.2">
      <c r="A340" s="131">
        <v>43276</v>
      </c>
      <c r="B340" s="151" t="s">
        <v>302</v>
      </c>
      <c r="C340" s="152"/>
      <c r="D340" s="186" t="s">
        <v>303</v>
      </c>
      <c r="E340" s="122"/>
      <c r="F340" s="122"/>
      <c r="G340" s="133" t="s">
        <v>304</v>
      </c>
      <c r="H340" s="148" t="s">
        <v>305</v>
      </c>
      <c r="I340" s="148"/>
      <c r="J340" s="127"/>
      <c r="K340" s="128"/>
      <c r="L340" s="128"/>
      <c r="M340" s="149">
        <v>300</v>
      </c>
      <c r="N340" s="129">
        <f t="shared" si="15"/>
        <v>118252.76999999992</v>
      </c>
    </row>
    <row r="341" spans="1:14" x14ac:dyDescent="0.2">
      <c r="A341" s="230"/>
      <c r="B341" s="231"/>
      <c r="C341" s="232"/>
      <c r="D341" s="232"/>
      <c r="E341" s="232"/>
      <c r="F341" s="232"/>
      <c r="G341" s="233"/>
      <c r="H341" s="234"/>
      <c r="I341" s="234"/>
      <c r="J341" s="235"/>
      <c r="K341" s="236"/>
      <c r="L341" s="228"/>
      <c r="M341" s="229"/>
      <c r="N341" s="237"/>
    </row>
    <row r="342" spans="1:14" ht="13.5" thickBot="1" x14ac:dyDescent="0.25">
      <c r="A342" s="238"/>
      <c r="B342" s="239"/>
      <c r="C342" s="240"/>
      <c r="D342" s="240"/>
      <c r="E342" s="241"/>
      <c r="F342" s="242"/>
      <c r="G342" s="243"/>
      <c r="H342" s="244" t="s">
        <v>250</v>
      </c>
      <c r="I342" s="244"/>
      <c r="J342" s="161">
        <f>SUM(J297:J333)</f>
        <v>12190</v>
      </c>
      <c r="K342" s="245">
        <f>SUM(K297:K333)</f>
        <v>3900.7999999999993</v>
      </c>
      <c r="L342" s="246">
        <f>SUM(L297:L324)</f>
        <v>8289.2000000000007</v>
      </c>
      <c r="M342" s="247">
        <f>SUM(M328:M340)</f>
        <v>12020</v>
      </c>
      <c r="N342" s="248"/>
    </row>
    <row r="343" spans="1:14" ht="13.5" thickBot="1" x14ac:dyDescent="0.25">
      <c r="A343" s="166"/>
      <c r="C343" s="168"/>
      <c r="D343" s="168"/>
      <c r="E343" s="169"/>
      <c r="F343" s="170"/>
      <c r="G343" s="171"/>
      <c r="H343" s="160" t="s">
        <v>13</v>
      </c>
      <c r="I343" s="314"/>
      <c r="J343" s="172"/>
      <c r="K343" s="173"/>
      <c r="L343" s="174"/>
      <c r="M343" s="174"/>
      <c r="N343" s="175">
        <f>+L342-M342+N296</f>
        <v>118252.76999999986</v>
      </c>
    </row>
    <row r="344" spans="1:14" x14ac:dyDescent="0.2">
      <c r="A344" s="166"/>
      <c r="C344" s="168"/>
      <c r="D344" s="168"/>
      <c r="E344" s="169"/>
      <c r="F344" s="170"/>
      <c r="G344" s="171"/>
      <c r="H344" s="171"/>
      <c r="I344" s="171"/>
      <c r="J344" s="189"/>
      <c r="K344" s="188"/>
      <c r="L344" s="180"/>
      <c r="M344" s="180"/>
      <c r="N344" s="189"/>
    </row>
    <row r="345" spans="1:14" x14ac:dyDescent="0.2">
      <c r="A345" s="527" t="s">
        <v>95</v>
      </c>
      <c r="B345" s="528"/>
      <c r="C345" s="528"/>
      <c r="D345" s="528"/>
      <c r="E345" s="528"/>
      <c r="F345" s="528"/>
      <c r="G345" s="528"/>
      <c r="H345" s="528"/>
      <c r="I345" s="528"/>
      <c r="J345" s="528"/>
      <c r="K345" s="528"/>
      <c r="L345" s="528"/>
      <c r="M345" s="528"/>
      <c r="N345" s="529"/>
    </row>
    <row r="346" spans="1:14" x14ac:dyDescent="0.2">
      <c r="A346" s="530"/>
      <c r="B346" s="531"/>
      <c r="C346" s="531"/>
      <c r="D346" s="531"/>
      <c r="E346" s="531"/>
      <c r="F346" s="531"/>
      <c r="G346" s="531"/>
      <c r="H346" s="531"/>
      <c r="I346" s="531"/>
      <c r="J346" s="531"/>
      <c r="K346" s="531"/>
      <c r="L346" s="531"/>
      <c r="M346" s="531"/>
      <c r="N346" s="532"/>
    </row>
    <row r="347" spans="1:14" ht="15" x14ac:dyDescent="0.25">
      <c r="A347" s="533" t="s">
        <v>306</v>
      </c>
      <c r="B347" s="534"/>
      <c r="C347" s="534"/>
      <c r="D347" s="534"/>
      <c r="E347" s="534"/>
      <c r="F347" s="534"/>
      <c r="G347" s="534"/>
      <c r="H347" s="534"/>
      <c r="I347" s="534"/>
      <c r="J347" s="534"/>
      <c r="K347" s="534"/>
      <c r="L347" s="534"/>
      <c r="M347" s="534"/>
      <c r="N347" s="534"/>
    </row>
    <row r="348" spans="1:14" x14ac:dyDescent="0.2">
      <c r="A348" s="115" t="s">
        <v>1</v>
      </c>
      <c r="B348" s="116" t="s">
        <v>2</v>
      </c>
      <c r="C348" s="117" t="s">
        <v>3</v>
      </c>
      <c r="D348" s="117" t="s">
        <v>4</v>
      </c>
      <c r="E348" s="117" t="s">
        <v>96</v>
      </c>
      <c r="F348" s="117" t="s">
        <v>5</v>
      </c>
      <c r="G348" s="118" t="s">
        <v>97</v>
      </c>
      <c r="H348" s="118" t="s">
        <v>6</v>
      </c>
      <c r="I348" s="118"/>
      <c r="J348" s="117" t="s">
        <v>7</v>
      </c>
      <c r="K348" s="117" t="s">
        <v>8</v>
      </c>
      <c r="L348" s="117" t="s">
        <v>9</v>
      </c>
      <c r="M348" s="119" t="s">
        <v>10</v>
      </c>
      <c r="N348" s="117" t="s">
        <v>11</v>
      </c>
    </row>
    <row r="349" spans="1:14" x14ac:dyDescent="0.2">
      <c r="A349" s="120"/>
      <c r="B349" s="121"/>
      <c r="C349" s="122"/>
      <c r="D349" s="122"/>
      <c r="E349" s="122"/>
      <c r="F349" s="122"/>
      <c r="G349" s="101"/>
      <c r="H349" s="123"/>
      <c r="I349" s="123"/>
      <c r="J349" s="124"/>
      <c r="K349" s="125"/>
      <c r="L349" s="125"/>
      <c r="M349" s="125"/>
      <c r="N349" s="124">
        <f>N343</f>
        <v>118252.76999999986</v>
      </c>
    </row>
    <row r="350" spans="1:14" ht="14.25" x14ac:dyDescent="0.2">
      <c r="A350" s="201">
        <v>43255</v>
      </c>
      <c r="B350" s="184" t="s">
        <v>307</v>
      </c>
      <c r="C350" s="126"/>
      <c r="D350" s="122"/>
      <c r="E350" s="122"/>
      <c r="F350" s="122"/>
      <c r="G350" s="126" t="s">
        <v>308</v>
      </c>
      <c r="H350" s="122"/>
      <c r="I350" s="122"/>
      <c r="J350" s="190">
        <v>200</v>
      </c>
      <c r="K350" s="182">
        <f>+J350*0.32</f>
        <v>64</v>
      </c>
      <c r="L350" s="182">
        <f>+J350*0.68</f>
        <v>136</v>
      </c>
      <c r="M350" s="128"/>
      <c r="N350" s="129">
        <f>+L350-M350+N349</f>
        <v>118388.76999999986</v>
      </c>
    </row>
    <row r="351" spans="1:14" ht="14.25" x14ac:dyDescent="0.2">
      <c r="A351" s="201">
        <v>43257</v>
      </c>
      <c r="B351" s="184" t="s">
        <v>307</v>
      </c>
      <c r="C351" s="126"/>
      <c r="D351" s="122"/>
      <c r="E351" s="122"/>
      <c r="F351" s="122"/>
      <c r="G351" s="126" t="s">
        <v>308</v>
      </c>
      <c r="H351" s="122"/>
      <c r="I351" s="122"/>
      <c r="J351" s="190">
        <v>500</v>
      </c>
      <c r="K351" s="182">
        <f>+J351*0.32</f>
        <v>160</v>
      </c>
      <c r="L351" s="182">
        <f>+J351*0.68</f>
        <v>340</v>
      </c>
      <c r="M351" s="128"/>
      <c r="N351" s="129">
        <f>+L351-M351+N350</f>
        <v>118728.76999999986</v>
      </c>
    </row>
    <row r="352" spans="1:14" ht="14.25" x14ac:dyDescent="0.2">
      <c r="A352" s="201">
        <v>43259</v>
      </c>
      <c r="B352" s="184" t="s">
        <v>307</v>
      </c>
      <c r="C352" s="126"/>
      <c r="D352" s="122"/>
      <c r="E352" s="183"/>
      <c r="F352" s="183"/>
      <c r="G352" s="126" t="s">
        <v>308</v>
      </c>
      <c r="H352" s="122"/>
      <c r="I352" s="122"/>
      <c r="J352" s="190">
        <v>524</v>
      </c>
      <c r="K352" s="182">
        <f t="shared" ref="K352:K374" si="17">+J352*0.32</f>
        <v>167.68</v>
      </c>
      <c r="L352" s="182">
        <f t="shared" ref="L352:L374" si="18">+J352*0.68</f>
        <v>356.32000000000005</v>
      </c>
      <c r="M352" s="128"/>
      <c r="N352" s="129">
        <f t="shared" ref="N352:N384" si="19">+L352-M352+N351</f>
        <v>119085.08999999987</v>
      </c>
    </row>
    <row r="353" spans="1:14" ht="14.25" x14ac:dyDescent="0.2">
      <c r="A353" s="201">
        <v>43262</v>
      </c>
      <c r="B353" s="184" t="s">
        <v>307</v>
      </c>
      <c r="C353" s="126"/>
      <c r="D353" s="122"/>
      <c r="E353" s="122"/>
      <c r="F353" s="122"/>
      <c r="G353" s="126" t="s">
        <v>308</v>
      </c>
      <c r="H353" s="122"/>
      <c r="I353" s="122"/>
      <c r="J353" s="190">
        <v>308</v>
      </c>
      <c r="K353" s="182">
        <f t="shared" si="17"/>
        <v>98.56</v>
      </c>
      <c r="L353" s="182">
        <f t="shared" si="18"/>
        <v>209.44000000000003</v>
      </c>
      <c r="M353" s="128"/>
      <c r="N353" s="129">
        <f t="shared" si="19"/>
        <v>119294.52999999987</v>
      </c>
    </row>
    <row r="354" spans="1:14" ht="14.25" x14ac:dyDescent="0.2">
      <c r="A354" s="201">
        <v>43263</v>
      </c>
      <c r="B354" s="184" t="s">
        <v>307</v>
      </c>
      <c r="C354" s="126"/>
      <c r="D354" s="122"/>
      <c r="E354" s="122"/>
      <c r="F354" s="122"/>
      <c r="G354" s="126" t="s">
        <v>308</v>
      </c>
      <c r="H354" s="122"/>
      <c r="I354" s="122"/>
      <c r="J354" s="190">
        <v>500</v>
      </c>
      <c r="K354" s="182">
        <f t="shared" si="17"/>
        <v>160</v>
      </c>
      <c r="L354" s="182">
        <f t="shared" si="18"/>
        <v>340</v>
      </c>
      <c r="M354" s="128"/>
      <c r="N354" s="129">
        <f t="shared" si="19"/>
        <v>119634.52999999987</v>
      </c>
    </row>
    <row r="355" spans="1:14" ht="14.25" x14ac:dyDescent="0.2">
      <c r="A355" s="201">
        <v>43264</v>
      </c>
      <c r="B355" s="184" t="s">
        <v>307</v>
      </c>
      <c r="C355" s="126"/>
      <c r="D355" s="122"/>
      <c r="E355" s="122"/>
      <c r="F355" s="122"/>
      <c r="G355" s="126" t="s">
        <v>308</v>
      </c>
      <c r="H355" s="122"/>
      <c r="I355" s="122"/>
      <c r="J355" s="203">
        <f>452-140</f>
        <v>312</v>
      </c>
      <c r="K355" s="182">
        <f t="shared" si="17"/>
        <v>99.84</v>
      </c>
      <c r="L355" s="182">
        <f t="shared" si="18"/>
        <v>212.16000000000003</v>
      </c>
      <c r="M355" s="128"/>
      <c r="N355" s="129">
        <f t="shared" si="19"/>
        <v>119846.68999999987</v>
      </c>
    </row>
    <row r="356" spans="1:14" ht="14.25" x14ac:dyDescent="0.2">
      <c r="A356" s="201">
        <v>43269</v>
      </c>
      <c r="B356" s="184"/>
      <c r="C356" s="126"/>
      <c r="D356" s="122"/>
      <c r="E356" s="122"/>
      <c r="F356" s="122"/>
      <c r="G356" s="126" t="s">
        <v>309</v>
      </c>
      <c r="H356" s="122"/>
      <c r="I356" s="122"/>
      <c r="J356" s="203">
        <v>1650</v>
      </c>
      <c r="K356" s="182">
        <f t="shared" si="17"/>
        <v>528</v>
      </c>
      <c r="L356" s="182">
        <f t="shared" si="18"/>
        <v>1122</v>
      </c>
      <c r="M356" s="128"/>
      <c r="N356" s="129">
        <f t="shared" si="19"/>
        <v>120968.68999999987</v>
      </c>
    </row>
    <row r="357" spans="1:14" ht="14.25" x14ac:dyDescent="0.2">
      <c r="A357" s="201">
        <v>43270</v>
      </c>
      <c r="B357" s="184"/>
      <c r="C357" s="126"/>
      <c r="D357" s="122"/>
      <c r="E357" s="122"/>
      <c r="F357" s="122"/>
      <c r="G357" s="126" t="s">
        <v>309</v>
      </c>
      <c r="H357" s="122"/>
      <c r="I357" s="122"/>
      <c r="J357" s="203">
        <v>288</v>
      </c>
      <c r="K357" s="182">
        <f t="shared" si="17"/>
        <v>92.16</v>
      </c>
      <c r="L357" s="182">
        <f t="shared" si="18"/>
        <v>195.84</v>
      </c>
      <c r="M357" s="128"/>
      <c r="N357" s="129">
        <f t="shared" si="19"/>
        <v>121164.52999999987</v>
      </c>
    </row>
    <row r="358" spans="1:14" ht="14.25" x14ac:dyDescent="0.2">
      <c r="A358" s="201">
        <v>43271</v>
      </c>
      <c r="B358" s="184"/>
      <c r="C358" s="126"/>
      <c r="D358" s="122"/>
      <c r="E358" s="122"/>
      <c r="F358" s="122"/>
      <c r="G358" s="126" t="s">
        <v>309</v>
      </c>
      <c r="H358" s="122"/>
      <c r="I358" s="122"/>
      <c r="J358" s="203">
        <v>308</v>
      </c>
      <c r="K358" s="182">
        <f t="shared" si="17"/>
        <v>98.56</v>
      </c>
      <c r="L358" s="182">
        <f t="shared" si="18"/>
        <v>209.44000000000003</v>
      </c>
      <c r="M358" s="128"/>
      <c r="N358" s="129">
        <f t="shared" si="19"/>
        <v>121373.96999999987</v>
      </c>
    </row>
    <row r="359" spans="1:14" ht="14.25" x14ac:dyDescent="0.2">
      <c r="A359" s="201">
        <v>43273</v>
      </c>
      <c r="B359" s="184"/>
      <c r="C359" s="126"/>
      <c r="D359" s="122"/>
      <c r="E359" s="122"/>
      <c r="F359" s="122"/>
      <c r="G359" s="126" t="s">
        <v>309</v>
      </c>
      <c r="H359" s="122"/>
      <c r="I359" s="122"/>
      <c r="J359" s="203">
        <v>616</v>
      </c>
      <c r="K359" s="182">
        <f t="shared" si="17"/>
        <v>197.12</v>
      </c>
      <c r="L359" s="182">
        <f t="shared" si="18"/>
        <v>418.88000000000005</v>
      </c>
      <c r="M359" s="128"/>
      <c r="N359" s="129">
        <f t="shared" si="19"/>
        <v>121792.84999999987</v>
      </c>
    </row>
    <row r="360" spans="1:14" ht="14.25" x14ac:dyDescent="0.2">
      <c r="A360" s="201">
        <v>43274</v>
      </c>
      <c r="B360" s="184"/>
      <c r="C360" s="126"/>
      <c r="D360" s="135"/>
      <c r="E360" s="122"/>
      <c r="F360" s="122"/>
      <c r="G360" s="126" t="s">
        <v>309</v>
      </c>
      <c r="H360" s="135"/>
      <c r="I360" s="135"/>
      <c r="J360" s="203">
        <v>144</v>
      </c>
      <c r="K360" s="182">
        <f t="shared" si="17"/>
        <v>46.08</v>
      </c>
      <c r="L360" s="182">
        <f t="shared" si="18"/>
        <v>97.92</v>
      </c>
      <c r="M360" s="128"/>
      <c r="N360" s="129">
        <f t="shared" si="19"/>
        <v>121890.76999999987</v>
      </c>
    </row>
    <row r="361" spans="1:14" ht="14.25" x14ac:dyDescent="0.2">
      <c r="A361" s="201">
        <v>43277</v>
      </c>
      <c r="B361" s="184"/>
      <c r="C361" s="126"/>
      <c r="D361" s="135"/>
      <c r="E361" s="122"/>
      <c r="F361" s="122"/>
      <c r="G361" s="126" t="s">
        <v>309</v>
      </c>
      <c r="H361" s="135"/>
      <c r="I361" s="135"/>
      <c r="J361" s="203">
        <v>302</v>
      </c>
      <c r="K361" s="182">
        <f t="shared" si="17"/>
        <v>96.64</v>
      </c>
      <c r="L361" s="182">
        <f t="shared" si="18"/>
        <v>205.36</v>
      </c>
      <c r="M361" s="128"/>
      <c r="N361" s="129">
        <f t="shared" si="19"/>
        <v>122096.12999999987</v>
      </c>
    </row>
    <row r="362" spans="1:14" ht="14.25" x14ac:dyDescent="0.2">
      <c r="A362" s="201">
        <v>43278</v>
      </c>
      <c r="B362" s="184"/>
      <c r="C362" s="126"/>
      <c r="D362" s="135"/>
      <c r="E362" s="122"/>
      <c r="F362" s="122"/>
      <c r="G362" s="126" t="s">
        <v>309</v>
      </c>
      <c r="H362" s="135"/>
      <c r="I362" s="135"/>
      <c r="J362" s="203">
        <v>806</v>
      </c>
      <c r="K362" s="182">
        <f t="shared" si="17"/>
        <v>257.92</v>
      </c>
      <c r="L362" s="182">
        <f t="shared" si="18"/>
        <v>548.08000000000004</v>
      </c>
      <c r="M362" s="128"/>
      <c r="N362" s="129">
        <f t="shared" si="19"/>
        <v>122644.20999999988</v>
      </c>
    </row>
    <row r="363" spans="1:14" ht="14.25" x14ac:dyDescent="0.2">
      <c r="A363" s="201">
        <v>43617</v>
      </c>
      <c r="B363" s="184"/>
      <c r="C363" s="126"/>
      <c r="D363" s="135"/>
      <c r="E363" s="122"/>
      <c r="F363" s="122"/>
      <c r="G363" s="126"/>
      <c r="H363" s="135"/>
      <c r="I363" s="135"/>
      <c r="J363" s="203">
        <v>225</v>
      </c>
      <c r="K363" s="182">
        <f t="shared" si="17"/>
        <v>72</v>
      </c>
      <c r="L363" s="182">
        <f t="shared" si="18"/>
        <v>153</v>
      </c>
      <c r="M363" s="128"/>
      <c r="N363" s="129">
        <f t="shared" si="19"/>
        <v>122797.20999999988</v>
      </c>
    </row>
    <row r="364" spans="1:14" ht="14.25" x14ac:dyDescent="0.2">
      <c r="A364" s="201">
        <v>43621</v>
      </c>
      <c r="B364" s="184"/>
      <c r="C364" s="126"/>
      <c r="D364" s="135"/>
      <c r="E364" s="122"/>
      <c r="F364" s="122"/>
      <c r="G364" s="126"/>
      <c r="H364" s="135"/>
      <c r="I364" s="135"/>
      <c r="J364" s="203">
        <v>120</v>
      </c>
      <c r="K364" s="182">
        <f t="shared" si="17"/>
        <v>38.4</v>
      </c>
      <c r="L364" s="182">
        <f t="shared" si="18"/>
        <v>81.600000000000009</v>
      </c>
      <c r="M364" s="128"/>
      <c r="N364" s="129">
        <f t="shared" si="19"/>
        <v>122878.80999999988</v>
      </c>
    </row>
    <row r="365" spans="1:14" ht="14.25" x14ac:dyDescent="0.2">
      <c r="A365" s="201">
        <v>43622</v>
      </c>
      <c r="B365" s="184"/>
      <c r="C365" s="126"/>
      <c r="D365" s="135"/>
      <c r="E365" s="122"/>
      <c r="F365" s="122"/>
      <c r="G365" s="126"/>
      <c r="H365" s="135"/>
      <c r="I365" s="135"/>
      <c r="J365" s="203">
        <v>746</v>
      </c>
      <c r="K365" s="182">
        <f t="shared" si="17"/>
        <v>238.72</v>
      </c>
      <c r="L365" s="182">
        <f t="shared" si="18"/>
        <v>507.28000000000003</v>
      </c>
      <c r="M365" s="128"/>
      <c r="N365" s="129">
        <f t="shared" si="19"/>
        <v>123386.08999999988</v>
      </c>
    </row>
    <row r="366" spans="1:14" ht="14.25" x14ac:dyDescent="0.2">
      <c r="A366" s="201">
        <v>43624</v>
      </c>
      <c r="B366" s="184"/>
      <c r="C366" s="126"/>
      <c r="D366" s="135"/>
      <c r="E366" s="122"/>
      <c r="F366" s="122"/>
      <c r="G366" s="126"/>
      <c r="H366" s="135"/>
      <c r="I366" s="135"/>
      <c r="J366" s="203">
        <v>643</v>
      </c>
      <c r="K366" s="182">
        <f t="shared" si="17"/>
        <v>205.76</v>
      </c>
      <c r="L366" s="182">
        <f t="shared" si="18"/>
        <v>437.24</v>
      </c>
      <c r="M366" s="128"/>
      <c r="N366" s="129">
        <f t="shared" si="19"/>
        <v>123823.32999999989</v>
      </c>
    </row>
    <row r="367" spans="1:14" ht="14.25" x14ac:dyDescent="0.2">
      <c r="A367" s="201">
        <v>43629</v>
      </c>
      <c r="B367" s="184"/>
      <c r="C367" s="126"/>
      <c r="D367" s="135"/>
      <c r="E367" s="122"/>
      <c r="F367" s="122"/>
      <c r="G367" s="126"/>
      <c r="H367" s="135"/>
      <c r="I367" s="135"/>
      <c r="J367" s="203">
        <v>308</v>
      </c>
      <c r="K367" s="182">
        <f t="shared" si="17"/>
        <v>98.56</v>
      </c>
      <c r="L367" s="182">
        <f t="shared" si="18"/>
        <v>209.44000000000003</v>
      </c>
      <c r="M367" s="128"/>
      <c r="N367" s="129">
        <f t="shared" si="19"/>
        <v>124032.76999999989</v>
      </c>
    </row>
    <row r="368" spans="1:14" ht="14.25" x14ac:dyDescent="0.2">
      <c r="A368" s="201">
        <v>43630</v>
      </c>
      <c r="B368" s="184"/>
      <c r="C368" s="126"/>
      <c r="D368" s="135"/>
      <c r="E368" s="122"/>
      <c r="F368" s="122"/>
      <c r="G368" s="126"/>
      <c r="H368" s="135"/>
      <c r="I368" s="135"/>
      <c r="J368" s="203">
        <v>302</v>
      </c>
      <c r="K368" s="182">
        <f t="shared" si="17"/>
        <v>96.64</v>
      </c>
      <c r="L368" s="182">
        <f t="shared" si="18"/>
        <v>205.36</v>
      </c>
      <c r="M368" s="128"/>
      <c r="N368" s="129">
        <f t="shared" si="19"/>
        <v>124238.12999999989</v>
      </c>
    </row>
    <row r="369" spans="1:14" ht="14.25" x14ac:dyDescent="0.2">
      <c r="A369" s="201">
        <v>43631</v>
      </c>
      <c r="B369" s="184"/>
      <c r="C369" s="126"/>
      <c r="D369" s="135"/>
      <c r="E369" s="122"/>
      <c r="F369" s="122"/>
      <c r="G369" s="126"/>
      <c r="H369" s="135"/>
      <c r="I369" s="135"/>
      <c r="J369" s="203">
        <v>334</v>
      </c>
      <c r="K369" s="182">
        <f t="shared" si="17"/>
        <v>106.88</v>
      </c>
      <c r="L369" s="182">
        <f t="shared" si="18"/>
        <v>227.12</v>
      </c>
      <c r="M369" s="128"/>
      <c r="N369" s="129">
        <f t="shared" si="19"/>
        <v>124465.24999999988</v>
      </c>
    </row>
    <row r="370" spans="1:14" ht="14.25" x14ac:dyDescent="0.2">
      <c r="A370" s="201">
        <v>43634</v>
      </c>
      <c r="B370" s="184"/>
      <c r="C370" s="126"/>
      <c r="D370" s="135"/>
      <c r="E370" s="122"/>
      <c r="F370" s="122"/>
      <c r="G370" s="126"/>
      <c r="H370" s="135"/>
      <c r="I370" s="135"/>
      <c r="J370" s="203">
        <v>144</v>
      </c>
      <c r="K370" s="182">
        <f t="shared" si="17"/>
        <v>46.08</v>
      </c>
      <c r="L370" s="182">
        <f t="shared" si="18"/>
        <v>97.92</v>
      </c>
      <c r="M370" s="128"/>
      <c r="N370" s="129">
        <f t="shared" si="19"/>
        <v>124563.16999999988</v>
      </c>
    </row>
    <row r="371" spans="1:14" ht="14.25" x14ac:dyDescent="0.2">
      <c r="A371" s="201">
        <v>43641</v>
      </c>
      <c r="B371" s="184"/>
      <c r="C371" s="126"/>
      <c r="D371" s="135"/>
      <c r="E371" s="122"/>
      <c r="F371" s="122"/>
      <c r="G371" s="126"/>
      <c r="H371" s="135"/>
      <c r="I371" s="135"/>
      <c r="J371" s="203">
        <v>308</v>
      </c>
      <c r="K371" s="182">
        <f t="shared" si="17"/>
        <v>98.56</v>
      </c>
      <c r="L371" s="182">
        <f t="shared" si="18"/>
        <v>209.44000000000003</v>
      </c>
      <c r="M371" s="128"/>
      <c r="N371" s="129">
        <f t="shared" si="19"/>
        <v>124772.60999999988</v>
      </c>
    </row>
    <row r="372" spans="1:14" ht="14.25" x14ac:dyDescent="0.2">
      <c r="A372" s="201">
        <v>43642</v>
      </c>
      <c r="B372" s="184"/>
      <c r="C372" s="126"/>
      <c r="D372" s="135"/>
      <c r="E372" s="122"/>
      <c r="F372" s="122"/>
      <c r="G372" s="126"/>
      <c r="H372" s="135"/>
      <c r="I372" s="135"/>
      <c r="J372" s="203">
        <v>20</v>
      </c>
      <c r="K372" s="182">
        <f t="shared" si="17"/>
        <v>6.4</v>
      </c>
      <c r="L372" s="182">
        <f t="shared" si="18"/>
        <v>13.600000000000001</v>
      </c>
      <c r="M372" s="128"/>
      <c r="N372" s="129">
        <f t="shared" si="19"/>
        <v>124786.20999999989</v>
      </c>
    </row>
    <row r="373" spans="1:14" ht="14.25" x14ac:dyDescent="0.2">
      <c r="A373" s="201">
        <v>43643</v>
      </c>
      <c r="B373" s="184"/>
      <c r="C373" s="126"/>
      <c r="D373" s="135"/>
      <c r="E373" s="122"/>
      <c r="F373" s="122"/>
      <c r="G373" s="126"/>
      <c r="H373" s="135"/>
      <c r="I373" s="135"/>
      <c r="J373" s="203">
        <v>164</v>
      </c>
      <c r="K373" s="182">
        <f t="shared" si="17"/>
        <v>52.480000000000004</v>
      </c>
      <c r="L373" s="182">
        <f t="shared" si="18"/>
        <v>111.52000000000001</v>
      </c>
      <c r="M373" s="128"/>
      <c r="N373" s="129">
        <f t="shared" si="19"/>
        <v>124897.72999999989</v>
      </c>
    </row>
    <row r="374" spans="1:14" ht="14.25" x14ac:dyDescent="0.2">
      <c r="A374" s="201">
        <v>43644</v>
      </c>
      <c r="B374" s="184"/>
      <c r="C374" s="126"/>
      <c r="D374" s="135"/>
      <c r="E374" s="122"/>
      <c r="F374" s="122"/>
      <c r="G374" s="126"/>
      <c r="H374" s="135"/>
      <c r="I374" s="135"/>
      <c r="J374" s="203">
        <v>452</v>
      </c>
      <c r="K374" s="182">
        <f t="shared" si="17"/>
        <v>144.64000000000001</v>
      </c>
      <c r="L374" s="182">
        <f t="shared" si="18"/>
        <v>307.36</v>
      </c>
      <c r="M374" s="128"/>
      <c r="N374" s="129">
        <f t="shared" si="19"/>
        <v>125205.08999999989</v>
      </c>
    </row>
    <row r="375" spans="1:14" ht="15" x14ac:dyDescent="0.25">
      <c r="A375" s="533" t="s">
        <v>310</v>
      </c>
      <c r="B375" s="534"/>
      <c r="C375" s="534"/>
      <c r="D375" s="534"/>
      <c r="E375" s="534"/>
      <c r="F375" s="534"/>
      <c r="G375" s="534"/>
      <c r="H375" s="534"/>
      <c r="I375" s="534"/>
      <c r="J375" s="534"/>
      <c r="K375" s="534"/>
      <c r="L375" s="534"/>
      <c r="M375" s="534"/>
      <c r="N375" s="129">
        <f t="shared" si="19"/>
        <v>125205.08999999989</v>
      </c>
    </row>
    <row r="376" spans="1:14" s="312" customFormat="1" ht="15" x14ac:dyDescent="0.25">
      <c r="A376" s="332">
        <v>43280</v>
      </c>
      <c r="B376" s="333" t="s">
        <v>311</v>
      </c>
      <c r="C376" s="333" t="s">
        <v>312</v>
      </c>
      <c r="D376" s="334"/>
      <c r="E376" s="334"/>
      <c r="F376" s="334" t="s">
        <v>313</v>
      </c>
      <c r="G376" s="334" t="s">
        <v>314</v>
      </c>
      <c r="H376" s="335"/>
      <c r="I376" s="311">
        <f>953.13-1.45</f>
        <v>951.68</v>
      </c>
      <c r="J376" s="334"/>
      <c r="K376" s="334"/>
      <c r="L376" s="334"/>
      <c r="M376" s="311">
        <v>0</v>
      </c>
      <c r="N376" s="311">
        <f t="shared" si="19"/>
        <v>125205.08999999989</v>
      </c>
    </row>
    <row r="377" spans="1:14" s="312" customFormat="1" x14ac:dyDescent="0.2">
      <c r="A377" s="331"/>
      <c r="B377" s="336" t="s">
        <v>315</v>
      </c>
      <c r="C377" s="337" t="s">
        <v>316</v>
      </c>
      <c r="D377" s="304"/>
      <c r="E377" s="304"/>
      <c r="F377" s="304"/>
      <c r="G377" s="328"/>
      <c r="H377" s="329" t="s">
        <v>317</v>
      </c>
      <c r="I377" s="311">
        <v>2415</v>
      </c>
      <c r="J377" s="309"/>
      <c r="K377" s="310"/>
      <c r="L377" s="310"/>
      <c r="M377" s="311">
        <v>0</v>
      </c>
      <c r="N377" s="311">
        <f t="shared" si="19"/>
        <v>125205.08999999989</v>
      </c>
    </row>
    <row r="378" spans="1:14" s="312" customFormat="1" x14ac:dyDescent="0.2">
      <c r="A378" s="327">
        <v>43280</v>
      </c>
      <c r="B378" s="336" t="s">
        <v>318</v>
      </c>
      <c r="C378" s="337" t="s">
        <v>319</v>
      </c>
      <c r="D378" s="304"/>
      <c r="E378" s="304"/>
      <c r="F378" s="305" t="s">
        <v>320</v>
      </c>
      <c r="G378" s="306" t="s">
        <v>321</v>
      </c>
      <c r="H378" s="307"/>
      <c r="I378" s="308">
        <v>1650</v>
      </c>
      <c r="J378" s="309"/>
      <c r="K378" s="310"/>
      <c r="L378" s="310"/>
      <c r="M378" s="308">
        <v>0</v>
      </c>
      <c r="N378" s="311">
        <f t="shared" si="19"/>
        <v>125205.08999999989</v>
      </c>
    </row>
    <row r="379" spans="1:14" x14ac:dyDescent="0.2">
      <c r="A379" s="185"/>
      <c r="B379" s="209"/>
      <c r="C379" s="152" t="s">
        <v>322</v>
      </c>
      <c r="D379" s="152"/>
      <c r="E379" s="122"/>
      <c r="F379" s="146" t="s">
        <v>323</v>
      </c>
      <c r="G379" s="147" t="s">
        <v>324</v>
      </c>
      <c r="H379" s="148"/>
      <c r="I379" s="148"/>
      <c r="J379" s="127"/>
      <c r="K379" s="128"/>
      <c r="L379" s="128"/>
      <c r="M379" s="149">
        <v>1040</v>
      </c>
      <c r="N379" s="129">
        <f t="shared" si="19"/>
        <v>124165.08999999989</v>
      </c>
    </row>
    <row r="380" spans="1:14" x14ac:dyDescent="0.2">
      <c r="A380" s="131">
        <v>43304</v>
      </c>
      <c r="B380" s="151" t="s">
        <v>325</v>
      </c>
      <c r="C380" s="152"/>
      <c r="D380" s="186" t="s">
        <v>326</v>
      </c>
      <c r="E380" s="122"/>
      <c r="F380" s="122" t="s">
        <v>327</v>
      </c>
      <c r="G380" s="133" t="s">
        <v>328</v>
      </c>
      <c r="H380" s="123"/>
      <c r="I380" s="123"/>
      <c r="J380" s="127"/>
      <c r="K380" s="128"/>
      <c r="L380" s="128"/>
      <c r="M380" s="149">
        <v>1700</v>
      </c>
      <c r="N380" s="129">
        <f t="shared" si="19"/>
        <v>122465.08999999989</v>
      </c>
    </row>
    <row r="381" spans="1:14" x14ac:dyDescent="0.2">
      <c r="A381" s="131"/>
      <c r="B381" s="151" t="s">
        <v>329</v>
      </c>
      <c r="C381" s="152"/>
      <c r="D381" s="186" t="s">
        <v>330</v>
      </c>
      <c r="E381" s="122"/>
      <c r="F381" s="122"/>
      <c r="G381" s="133" t="s">
        <v>331</v>
      </c>
      <c r="H381" s="123"/>
      <c r="I381" s="123"/>
      <c r="J381" s="127"/>
      <c r="K381" s="128"/>
      <c r="L381" s="128"/>
      <c r="M381" s="149">
        <v>950</v>
      </c>
      <c r="N381" s="129">
        <f t="shared" si="19"/>
        <v>121515.08999999989</v>
      </c>
    </row>
    <row r="382" spans="1:14" x14ac:dyDescent="0.2">
      <c r="A382" s="219"/>
      <c r="B382" s="151" t="s">
        <v>332</v>
      </c>
      <c r="C382" s="152"/>
      <c r="D382" s="186" t="s">
        <v>333</v>
      </c>
      <c r="E382" s="223"/>
      <c r="F382" s="223"/>
      <c r="G382" s="133" t="s">
        <v>334</v>
      </c>
      <c r="H382" s="225"/>
      <c r="I382" s="234"/>
      <c r="J382" s="226"/>
      <c r="K382" s="227"/>
      <c r="L382" s="228"/>
      <c r="M382" s="229">
        <v>850</v>
      </c>
      <c r="N382" s="129">
        <f t="shared" si="19"/>
        <v>120665.08999999989</v>
      </c>
    </row>
    <row r="383" spans="1:14" ht="45" x14ac:dyDescent="0.25">
      <c r="A383" s="131">
        <v>43304</v>
      </c>
      <c r="B383" s="250" t="s">
        <v>335</v>
      </c>
      <c r="C383" s="152"/>
      <c r="D383" s="186" t="s">
        <v>336</v>
      </c>
      <c r="E383" s="122"/>
      <c r="F383" s="251" t="s">
        <v>337</v>
      </c>
      <c r="G383" s="252" t="s">
        <v>338</v>
      </c>
      <c r="H383" s="523" t="s">
        <v>339</v>
      </c>
      <c r="I383" s="631"/>
      <c r="J383" s="524"/>
      <c r="K383" s="128"/>
      <c r="L383" s="128"/>
      <c r="M383" s="149">
        <v>300</v>
      </c>
      <c r="N383" s="129">
        <f t="shared" si="19"/>
        <v>120365.08999999989</v>
      </c>
    </row>
    <row r="384" spans="1:14" x14ac:dyDescent="0.2">
      <c r="A384" s="131"/>
      <c r="B384" s="132"/>
      <c r="C384" s="122"/>
      <c r="D384" s="122"/>
      <c r="E384" s="122"/>
      <c r="F384" s="122"/>
      <c r="G384" s="133"/>
      <c r="H384" s="123"/>
      <c r="I384" s="123"/>
      <c r="J384" s="127"/>
      <c r="K384" s="128"/>
      <c r="L384" s="128"/>
      <c r="M384" s="149"/>
      <c r="N384" s="129">
        <f t="shared" si="19"/>
        <v>120365.08999999989</v>
      </c>
    </row>
    <row r="385" spans="1:14" ht="13.5" thickBot="1" x14ac:dyDescent="0.25">
      <c r="A385" s="238"/>
      <c r="B385" s="239"/>
      <c r="C385" s="240"/>
      <c r="D385" s="240"/>
      <c r="E385" s="241"/>
      <c r="F385" s="242"/>
      <c r="G385" s="243"/>
      <c r="H385" s="244" t="s">
        <v>250</v>
      </c>
      <c r="I385" s="244"/>
      <c r="J385" s="161">
        <f>SUM(J350:J374)</f>
        <v>10224</v>
      </c>
      <c r="K385" s="245">
        <f>SUM(K350:K374)</f>
        <v>3271.6799999999994</v>
      </c>
      <c r="L385" s="246">
        <f>SUM(L350:L374)</f>
        <v>6952.32</v>
      </c>
      <c r="M385" s="247">
        <f>SUM(M376:M384)</f>
        <v>4840</v>
      </c>
      <c r="N385" s="248"/>
    </row>
    <row r="386" spans="1:14" ht="13.5" thickBot="1" x14ac:dyDescent="0.25">
      <c r="A386" s="166"/>
      <c r="C386" s="168"/>
      <c r="D386" s="168"/>
      <c r="E386" s="169"/>
      <c r="F386" s="170"/>
      <c r="G386" s="171"/>
      <c r="H386" s="160" t="s">
        <v>13</v>
      </c>
      <c r="I386" s="314"/>
      <c r="J386" s="172"/>
      <c r="K386" s="173"/>
      <c r="L386" s="174"/>
      <c r="M386" s="174"/>
      <c r="N386" s="175">
        <f>+L385-M385+N349</f>
        <v>120365.08999999985</v>
      </c>
    </row>
    <row r="387" spans="1:14" x14ac:dyDescent="0.2">
      <c r="A387" s="166"/>
      <c r="C387" s="168"/>
      <c r="D387" s="168"/>
      <c r="E387" s="169"/>
      <c r="F387" s="170"/>
      <c r="G387" s="171"/>
      <c r="H387" s="171"/>
      <c r="I387" s="171"/>
      <c r="J387" s="189"/>
      <c r="K387" s="188"/>
      <c r="L387" s="180"/>
      <c r="M387" s="180"/>
      <c r="N387" s="189"/>
    </row>
    <row r="388" spans="1:14" x14ac:dyDescent="0.2">
      <c r="A388" s="527" t="s">
        <v>95</v>
      </c>
      <c r="B388" s="528"/>
      <c r="C388" s="528"/>
      <c r="D388" s="528"/>
      <c r="E388" s="528"/>
      <c r="F388" s="528"/>
      <c r="G388" s="528"/>
      <c r="H388" s="528"/>
      <c r="I388" s="528"/>
      <c r="J388" s="528"/>
      <c r="K388" s="528"/>
      <c r="L388" s="528"/>
      <c r="M388" s="528"/>
      <c r="N388" s="529"/>
    </row>
    <row r="389" spans="1:14" x14ac:dyDescent="0.2">
      <c r="A389" s="530"/>
      <c r="B389" s="531"/>
      <c r="C389" s="531"/>
      <c r="D389" s="531"/>
      <c r="E389" s="531"/>
      <c r="F389" s="531"/>
      <c r="G389" s="531"/>
      <c r="H389" s="531"/>
      <c r="I389" s="531"/>
      <c r="J389" s="531"/>
      <c r="K389" s="531"/>
      <c r="L389" s="531"/>
      <c r="M389" s="531"/>
      <c r="N389" s="532"/>
    </row>
    <row r="390" spans="1:14" ht="15" x14ac:dyDescent="0.25">
      <c r="A390" s="533" t="s">
        <v>340</v>
      </c>
      <c r="B390" s="534"/>
      <c r="C390" s="534"/>
      <c r="D390" s="534"/>
      <c r="E390" s="534"/>
      <c r="F390" s="534"/>
      <c r="G390" s="534"/>
      <c r="H390" s="534"/>
      <c r="I390" s="534"/>
      <c r="J390" s="534"/>
      <c r="K390" s="534"/>
      <c r="L390" s="534"/>
      <c r="M390" s="534"/>
      <c r="N390" s="534"/>
    </row>
    <row r="391" spans="1:14" x14ac:dyDescent="0.2">
      <c r="A391" s="115" t="s">
        <v>1</v>
      </c>
      <c r="B391" s="116" t="s">
        <v>2</v>
      </c>
      <c r="C391" s="117" t="s">
        <v>3</v>
      </c>
      <c r="D391" s="117" t="s">
        <v>4</v>
      </c>
      <c r="E391" s="117" t="s">
        <v>96</v>
      </c>
      <c r="F391" s="117" t="s">
        <v>5</v>
      </c>
      <c r="G391" s="118" t="s">
        <v>97</v>
      </c>
      <c r="H391" s="118" t="s">
        <v>6</v>
      </c>
      <c r="I391" s="118"/>
      <c r="J391" s="117" t="s">
        <v>7</v>
      </c>
      <c r="K391" s="117" t="s">
        <v>8</v>
      </c>
      <c r="L391" s="117" t="s">
        <v>9</v>
      </c>
      <c r="M391" s="119" t="s">
        <v>10</v>
      </c>
      <c r="N391" s="117" t="s">
        <v>11</v>
      </c>
    </row>
    <row r="392" spans="1:14" x14ac:dyDescent="0.2">
      <c r="A392" s="120"/>
      <c r="B392" s="121"/>
      <c r="C392" s="122"/>
      <c r="D392" s="122"/>
      <c r="E392" s="122"/>
      <c r="F392" s="122"/>
      <c r="G392" s="101"/>
      <c r="H392" s="123"/>
      <c r="I392" s="123"/>
      <c r="J392" s="124"/>
      <c r="K392" s="125"/>
      <c r="L392" s="125"/>
      <c r="M392" s="125"/>
      <c r="N392" s="124">
        <f>N386</f>
        <v>120365.08999999985</v>
      </c>
    </row>
    <row r="393" spans="1:14" ht="14.25" x14ac:dyDescent="0.2">
      <c r="A393" s="201">
        <v>43284</v>
      </c>
      <c r="B393" s="184"/>
      <c r="C393" s="126"/>
      <c r="D393" s="122"/>
      <c r="E393" s="122"/>
      <c r="F393" s="122"/>
      <c r="G393" s="126" t="s">
        <v>309</v>
      </c>
      <c r="H393" s="122"/>
      <c r="I393" s="122"/>
      <c r="J393" s="190">
        <f>488-15-70</f>
        <v>403</v>
      </c>
      <c r="K393" s="182">
        <f>+J393*0.32</f>
        <v>128.96</v>
      </c>
      <c r="L393" s="182">
        <f>+J393*0.68</f>
        <v>274.04000000000002</v>
      </c>
      <c r="M393" s="128"/>
      <c r="N393" s="129">
        <f>+L393-M393+N392</f>
        <v>120639.12999999984</v>
      </c>
    </row>
    <row r="394" spans="1:14" ht="14.25" x14ac:dyDescent="0.2">
      <c r="A394" s="201">
        <v>43286</v>
      </c>
      <c r="B394" s="184"/>
      <c r="C394" s="126"/>
      <c r="D394" s="122"/>
      <c r="E394" s="122"/>
      <c r="F394" s="122"/>
      <c r="G394" s="126" t="s">
        <v>309</v>
      </c>
      <c r="H394" s="122"/>
      <c r="I394" s="122"/>
      <c r="J394" s="190">
        <v>460</v>
      </c>
      <c r="K394" s="182">
        <f>+J394*0.32</f>
        <v>147.20000000000002</v>
      </c>
      <c r="L394" s="182">
        <f>+J394*0.68</f>
        <v>312.8</v>
      </c>
      <c r="M394" s="128"/>
      <c r="N394" s="129">
        <f>+L394-M394+N393</f>
        <v>120951.92999999985</v>
      </c>
    </row>
    <row r="395" spans="1:14" ht="14.25" x14ac:dyDescent="0.2">
      <c r="A395" s="201">
        <v>43287</v>
      </c>
      <c r="B395" s="184"/>
      <c r="C395" s="126"/>
      <c r="D395" s="122"/>
      <c r="E395" s="183"/>
      <c r="F395" s="183"/>
      <c r="G395" s="126" t="s">
        <v>309</v>
      </c>
      <c r="H395" s="122"/>
      <c r="I395" s="122"/>
      <c r="J395" s="190">
        <v>144</v>
      </c>
      <c r="K395" s="182">
        <f t="shared" ref="K395:K419" si="20">+J395*0.32</f>
        <v>46.08</v>
      </c>
      <c r="L395" s="182">
        <f t="shared" ref="L395:L419" si="21">+J395*0.68</f>
        <v>97.92</v>
      </c>
      <c r="M395" s="128"/>
      <c r="N395" s="129">
        <f t="shared" ref="N395:N430" si="22">+L395-M395+N394</f>
        <v>121049.84999999985</v>
      </c>
    </row>
    <row r="396" spans="1:14" ht="14.25" x14ac:dyDescent="0.2">
      <c r="A396" s="201">
        <v>43293</v>
      </c>
      <c r="B396" s="184"/>
      <c r="C396" s="126"/>
      <c r="D396" s="122"/>
      <c r="E396" s="122"/>
      <c r="F396" s="122"/>
      <c r="G396" s="126" t="s">
        <v>309</v>
      </c>
      <c r="H396" s="122"/>
      <c r="I396" s="122"/>
      <c r="J396" s="190">
        <v>144</v>
      </c>
      <c r="K396" s="182">
        <f t="shared" si="20"/>
        <v>46.08</v>
      </c>
      <c r="L396" s="182">
        <f t="shared" si="21"/>
        <v>97.92</v>
      </c>
      <c r="M396" s="128"/>
      <c r="N396" s="129">
        <f t="shared" si="22"/>
        <v>121147.76999999984</v>
      </c>
    </row>
    <row r="397" spans="1:14" ht="14.25" x14ac:dyDescent="0.2">
      <c r="A397" s="201">
        <v>43294</v>
      </c>
      <c r="B397" s="184"/>
      <c r="C397" s="126"/>
      <c r="D397" s="122"/>
      <c r="E397" s="122"/>
      <c r="F397" s="122"/>
      <c r="G397" s="126" t="s">
        <v>309</v>
      </c>
      <c r="H397" s="122"/>
      <c r="I397" s="122"/>
      <c r="J397" s="190">
        <v>144</v>
      </c>
      <c r="K397" s="182">
        <f t="shared" si="20"/>
        <v>46.08</v>
      </c>
      <c r="L397" s="182">
        <f t="shared" si="21"/>
        <v>97.92</v>
      </c>
      <c r="M397" s="128"/>
      <c r="N397" s="129">
        <f t="shared" si="22"/>
        <v>121245.68999999984</v>
      </c>
    </row>
    <row r="398" spans="1:14" ht="14.25" x14ac:dyDescent="0.2">
      <c r="A398" s="201">
        <v>43300</v>
      </c>
      <c r="B398" s="184" t="s">
        <v>341</v>
      </c>
      <c r="C398" s="126"/>
      <c r="D398" s="122"/>
      <c r="E398" s="122"/>
      <c r="F398" s="122"/>
      <c r="G398" s="126" t="s">
        <v>342</v>
      </c>
      <c r="H398" s="122"/>
      <c r="I398" s="122"/>
      <c r="J398" s="190">
        <v>164</v>
      </c>
      <c r="K398" s="182">
        <f t="shared" si="20"/>
        <v>52.480000000000004</v>
      </c>
      <c r="L398" s="182">
        <f t="shared" si="21"/>
        <v>111.52000000000001</v>
      </c>
      <c r="M398" s="128"/>
      <c r="N398" s="129">
        <f t="shared" si="22"/>
        <v>121357.20999999985</v>
      </c>
    </row>
    <row r="399" spans="1:14" ht="14.25" x14ac:dyDescent="0.2">
      <c r="A399" s="201">
        <v>43301</v>
      </c>
      <c r="B399" s="184" t="s">
        <v>341</v>
      </c>
      <c r="C399" s="126"/>
      <c r="D399" s="122"/>
      <c r="E399" s="122"/>
      <c r="F399" s="122"/>
      <c r="G399" s="126" t="s">
        <v>342</v>
      </c>
      <c r="H399" s="122"/>
      <c r="I399" s="122"/>
      <c r="J399" s="190">
        <v>144</v>
      </c>
      <c r="K399" s="182">
        <f t="shared" si="20"/>
        <v>46.08</v>
      </c>
      <c r="L399" s="182">
        <f t="shared" si="21"/>
        <v>97.92</v>
      </c>
      <c r="M399" s="128"/>
      <c r="N399" s="129">
        <f t="shared" si="22"/>
        <v>121455.12999999984</v>
      </c>
    </row>
    <row r="400" spans="1:14" ht="14.25" x14ac:dyDescent="0.2">
      <c r="A400" s="201">
        <v>43304</v>
      </c>
      <c r="B400" s="184" t="s">
        <v>341</v>
      </c>
      <c r="C400" s="126"/>
      <c r="D400" s="122"/>
      <c r="E400" s="122"/>
      <c r="F400" s="122"/>
      <c r="G400" s="126" t="s">
        <v>342</v>
      </c>
      <c r="H400" s="122"/>
      <c r="I400" s="122"/>
      <c r="J400" s="190">
        <v>20</v>
      </c>
      <c r="K400" s="182">
        <f t="shared" si="20"/>
        <v>6.4</v>
      </c>
      <c r="L400" s="182">
        <f t="shared" si="21"/>
        <v>13.600000000000001</v>
      </c>
      <c r="M400" s="128"/>
      <c r="N400" s="129">
        <f t="shared" si="22"/>
        <v>121468.72999999985</v>
      </c>
    </row>
    <row r="401" spans="1:14" ht="14.25" x14ac:dyDescent="0.2">
      <c r="A401" s="201">
        <v>43307</v>
      </c>
      <c r="B401" s="184" t="s">
        <v>341</v>
      </c>
      <c r="C401" s="126"/>
      <c r="D401" s="122"/>
      <c r="E401" s="122"/>
      <c r="F401" s="122"/>
      <c r="G401" s="126" t="s">
        <v>342</v>
      </c>
      <c r="H401" s="122"/>
      <c r="I401" s="122"/>
      <c r="J401" s="203">
        <v>780</v>
      </c>
      <c r="K401" s="182">
        <f t="shared" si="20"/>
        <v>249.6</v>
      </c>
      <c r="L401" s="182">
        <f t="shared" si="21"/>
        <v>530.40000000000009</v>
      </c>
      <c r="M401" s="128"/>
      <c r="N401" s="129">
        <f t="shared" si="22"/>
        <v>121999.12999999984</v>
      </c>
    </row>
    <row r="402" spans="1:14" ht="14.25" x14ac:dyDescent="0.2">
      <c r="A402" s="201">
        <v>43311</v>
      </c>
      <c r="B402" s="184" t="s">
        <v>341</v>
      </c>
      <c r="C402" s="126"/>
      <c r="D402" s="122"/>
      <c r="E402" s="122"/>
      <c r="F402" s="122"/>
      <c r="G402" s="126" t="s">
        <v>342</v>
      </c>
      <c r="H402" s="122"/>
      <c r="I402" s="122"/>
      <c r="J402" s="203">
        <v>458</v>
      </c>
      <c r="K402" s="182">
        <f t="shared" si="20"/>
        <v>146.56</v>
      </c>
      <c r="L402" s="182">
        <f t="shared" si="21"/>
        <v>311.44</v>
      </c>
      <c r="M402" s="128"/>
      <c r="N402" s="129">
        <f t="shared" si="22"/>
        <v>122310.56999999985</v>
      </c>
    </row>
    <row r="403" spans="1:14" ht="14.25" x14ac:dyDescent="0.2">
      <c r="A403" s="201">
        <v>43312</v>
      </c>
      <c r="B403" s="184" t="s">
        <v>341</v>
      </c>
      <c r="C403" s="126"/>
      <c r="D403" s="135"/>
      <c r="E403" s="122"/>
      <c r="F403" s="122"/>
      <c r="G403" s="126" t="s">
        <v>342</v>
      </c>
      <c r="H403" s="135"/>
      <c r="I403" s="135"/>
      <c r="J403" s="203">
        <f>745-25</f>
        <v>720</v>
      </c>
      <c r="K403" s="182">
        <f t="shared" si="20"/>
        <v>230.4</v>
      </c>
      <c r="L403" s="182">
        <f t="shared" si="21"/>
        <v>489.6</v>
      </c>
      <c r="M403" s="128"/>
      <c r="N403" s="129">
        <f t="shared" si="22"/>
        <v>122800.16999999985</v>
      </c>
    </row>
    <row r="404" spans="1:14" ht="14.25" x14ac:dyDescent="0.2">
      <c r="A404" s="201">
        <v>43649</v>
      </c>
      <c r="B404" s="184"/>
      <c r="C404" s="126"/>
      <c r="D404" s="135"/>
      <c r="E404" s="122"/>
      <c r="F404" s="122"/>
      <c r="G404" s="126"/>
      <c r="H404" s="135"/>
      <c r="I404" s="135"/>
      <c r="J404" s="203">
        <v>536</v>
      </c>
      <c r="K404" s="182">
        <f t="shared" si="20"/>
        <v>171.52</v>
      </c>
      <c r="L404" s="182">
        <f t="shared" si="21"/>
        <v>364.48</v>
      </c>
      <c r="M404" s="128"/>
      <c r="N404" s="129">
        <f t="shared" si="22"/>
        <v>123164.64999999985</v>
      </c>
    </row>
    <row r="405" spans="1:14" ht="14.25" x14ac:dyDescent="0.2">
      <c r="A405" s="201">
        <v>43652</v>
      </c>
      <c r="B405" s="184"/>
      <c r="C405" s="126"/>
      <c r="D405" s="135"/>
      <c r="E405" s="122"/>
      <c r="F405" s="122"/>
      <c r="G405" s="126"/>
      <c r="H405" s="135"/>
      <c r="I405" s="135"/>
      <c r="J405" s="203">
        <v>20</v>
      </c>
      <c r="K405" s="182">
        <f t="shared" si="20"/>
        <v>6.4</v>
      </c>
      <c r="L405" s="182">
        <f t="shared" si="21"/>
        <v>13.600000000000001</v>
      </c>
      <c r="M405" s="128"/>
      <c r="N405" s="129">
        <f t="shared" si="22"/>
        <v>123178.24999999985</v>
      </c>
    </row>
    <row r="406" spans="1:14" ht="14.25" x14ac:dyDescent="0.2">
      <c r="A406" s="201">
        <v>43625</v>
      </c>
      <c r="B406" s="184"/>
      <c r="C406" s="126"/>
      <c r="D406" s="135"/>
      <c r="E406" s="122"/>
      <c r="F406" s="122"/>
      <c r="G406" s="126"/>
      <c r="H406" s="135"/>
      <c r="I406" s="135"/>
      <c r="J406" s="203">
        <v>20</v>
      </c>
      <c r="K406" s="182">
        <f t="shared" si="20"/>
        <v>6.4</v>
      </c>
      <c r="L406" s="182">
        <f t="shared" si="21"/>
        <v>13.600000000000001</v>
      </c>
      <c r="M406" s="128"/>
      <c r="N406" s="129">
        <f t="shared" si="22"/>
        <v>123191.84999999986</v>
      </c>
    </row>
    <row r="407" spans="1:14" ht="14.25" x14ac:dyDescent="0.2">
      <c r="A407" s="201">
        <v>43656</v>
      </c>
      <c r="B407" s="184"/>
      <c r="C407" s="126"/>
      <c r="D407" s="135"/>
      <c r="E407" s="122"/>
      <c r="F407" s="122"/>
      <c r="G407" s="126"/>
      <c r="H407" s="135"/>
      <c r="I407" s="135"/>
      <c r="J407" s="203">
        <v>273</v>
      </c>
      <c r="K407" s="182">
        <f t="shared" si="20"/>
        <v>87.36</v>
      </c>
      <c r="L407" s="182">
        <f t="shared" si="21"/>
        <v>185.64000000000001</v>
      </c>
      <c r="M407" s="128"/>
      <c r="N407" s="129">
        <f t="shared" si="22"/>
        <v>123377.48999999986</v>
      </c>
    </row>
    <row r="408" spans="1:14" ht="14.25" x14ac:dyDescent="0.2">
      <c r="A408" s="201">
        <v>43657</v>
      </c>
      <c r="B408" s="184"/>
      <c r="C408" s="126"/>
      <c r="D408" s="135"/>
      <c r="E408" s="122"/>
      <c r="F408" s="122"/>
      <c r="G408" s="126"/>
      <c r="H408" s="135"/>
      <c r="I408" s="135"/>
      <c r="J408" s="203">
        <v>144</v>
      </c>
      <c r="K408" s="182">
        <f t="shared" si="20"/>
        <v>46.08</v>
      </c>
      <c r="L408" s="182">
        <f t="shared" si="21"/>
        <v>97.92</v>
      </c>
      <c r="M408" s="128"/>
      <c r="N408" s="129">
        <f t="shared" si="22"/>
        <v>123475.40999999986</v>
      </c>
    </row>
    <row r="409" spans="1:14" ht="14.25" x14ac:dyDescent="0.2">
      <c r="A409" s="201">
        <v>43658</v>
      </c>
      <c r="B409" s="184"/>
      <c r="C409" s="126"/>
      <c r="D409" s="135"/>
      <c r="E409" s="122"/>
      <c r="F409" s="122"/>
      <c r="G409" s="126"/>
      <c r="H409" s="135"/>
      <c r="I409" s="135"/>
      <c r="J409" s="203">
        <v>320</v>
      </c>
      <c r="K409" s="182">
        <f t="shared" si="20"/>
        <v>102.4</v>
      </c>
      <c r="L409" s="182">
        <f t="shared" si="21"/>
        <v>217.60000000000002</v>
      </c>
      <c r="M409" s="128"/>
      <c r="N409" s="129">
        <f t="shared" si="22"/>
        <v>123693.00999999986</v>
      </c>
    </row>
    <row r="410" spans="1:14" ht="14.25" x14ac:dyDescent="0.2">
      <c r="A410" s="201">
        <v>43659</v>
      </c>
      <c r="B410" s="184"/>
      <c r="C410" s="126"/>
      <c r="D410" s="135"/>
      <c r="E410" s="122"/>
      <c r="F410" s="122"/>
      <c r="G410" s="126"/>
      <c r="H410" s="135"/>
      <c r="I410" s="135"/>
      <c r="J410" s="203">
        <v>308</v>
      </c>
      <c r="K410" s="182">
        <f t="shared" si="20"/>
        <v>98.56</v>
      </c>
      <c r="L410" s="182">
        <f t="shared" si="21"/>
        <v>209.44000000000003</v>
      </c>
      <c r="M410" s="128"/>
      <c r="N410" s="129">
        <f t="shared" si="22"/>
        <v>123902.44999999987</v>
      </c>
    </row>
    <row r="411" spans="1:14" ht="14.25" x14ac:dyDescent="0.2">
      <c r="A411" s="201">
        <v>43664</v>
      </c>
      <c r="B411" s="184"/>
      <c r="C411" s="126"/>
      <c r="D411" s="135"/>
      <c r="E411" s="122"/>
      <c r="F411" s="122"/>
      <c r="G411" s="126"/>
      <c r="H411" s="135"/>
      <c r="I411" s="135"/>
      <c r="J411" s="203">
        <v>120</v>
      </c>
      <c r="K411" s="182">
        <f t="shared" si="20"/>
        <v>38.4</v>
      </c>
      <c r="L411" s="182">
        <f t="shared" si="21"/>
        <v>81.600000000000009</v>
      </c>
      <c r="M411" s="128"/>
      <c r="N411" s="129">
        <f t="shared" si="22"/>
        <v>123984.04999999987</v>
      </c>
    </row>
    <row r="412" spans="1:14" ht="14.25" x14ac:dyDescent="0.2">
      <c r="A412" s="201">
        <v>43665</v>
      </c>
      <c r="B412" s="184"/>
      <c r="C412" s="126"/>
      <c r="D412" s="135"/>
      <c r="E412" s="122"/>
      <c r="F412" s="122"/>
      <c r="G412" s="126"/>
      <c r="H412" s="135"/>
      <c r="I412" s="135"/>
      <c r="J412" s="203">
        <v>220</v>
      </c>
      <c r="K412" s="182">
        <f t="shared" si="20"/>
        <v>70.400000000000006</v>
      </c>
      <c r="L412" s="182">
        <f t="shared" si="21"/>
        <v>149.60000000000002</v>
      </c>
      <c r="M412" s="128"/>
      <c r="N412" s="129">
        <f t="shared" si="22"/>
        <v>124133.64999999988</v>
      </c>
    </row>
    <row r="413" spans="1:14" ht="14.25" x14ac:dyDescent="0.2">
      <c r="A413" s="201">
        <v>43666</v>
      </c>
      <c r="B413" s="184"/>
      <c r="C413" s="126"/>
      <c r="D413" s="135"/>
      <c r="E413" s="122"/>
      <c r="F413" s="122"/>
      <c r="G413" s="126"/>
      <c r="H413" s="135"/>
      <c r="I413" s="135"/>
      <c r="J413" s="203">
        <v>300</v>
      </c>
      <c r="K413" s="182">
        <f t="shared" si="20"/>
        <v>96</v>
      </c>
      <c r="L413" s="182">
        <f t="shared" si="21"/>
        <v>204.00000000000003</v>
      </c>
      <c r="M413" s="128"/>
      <c r="N413" s="129">
        <f t="shared" si="22"/>
        <v>124337.64999999988</v>
      </c>
    </row>
    <row r="414" spans="1:14" ht="14.25" x14ac:dyDescent="0.2">
      <c r="A414" s="201">
        <v>43667</v>
      </c>
      <c r="B414" s="184"/>
      <c r="C414" s="126"/>
      <c r="D414" s="135"/>
      <c r="E414" s="122"/>
      <c r="F414" s="122"/>
      <c r="G414" s="126"/>
      <c r="H414" s="135"/>
      <c r="I414" s="135"/>
      <c r="J414" s="203">
        <v>240</v>
      </c>
      <c r="K414" s="182">
        <f t="shared" si="20"/>
        <v>76.8</v>
      </c>
      <c r="L414" s="182">
        <f t="shared" si="21"/>
        <v>163.20000000000002</v>
      </c>
      <c r="M414" s="128"/>
      <c r="N414" s="129">
        <f t="shared" si="22"/>
        <v>124500.84999999987</v>
      </c>
    </row>
    <row r="415" spans="1:14" ht="14.25" x14ac:dyDescent="0.2">
      <c r="A415" s="201">
        <v>43669</v>
      </c>
      <c r="B415" s="184"/>
      <c r="C415" s="126"/>
      <c r="D415" s="135"/>
      <c r="E415" s="122"/>
      <c r="F415" s="122"/>
      <c r="G415" s="126"/>
      <c r="H415" s="135"/>
      <c r="I415" s="135"/>
      <c r="J415" s="203">
        <v>452</v>
      </c>
      <c r="K415" s="182">
        <f t="shared" si="20"/>
        <v>144.64000000000001</v>
      </c>
      <c r="L415" s="182">
        <f t="shared" si="21"/>
        <v>307.36</v>
      </c>
      <c r="M415" s="128"/>
      <c r="N415" s="129">
        <f t="shared" si="22"/>
        <v>124808.20999999988</v>
      </c>
    </row>
    <row r="416" spans="1:14" ht="14.25" x14ac:dyDescent="0.2">
      <c r="A416" s="201">
        <v>43670</v>
      </c>
      <c r="B416" s="184"/>
      <c r="C416" s="126"/>
      <c r="D416" s="135"/>
      <c r="E416" s="122"/>
      <c r="F416" s="122"/>
      <c r="G416" s="126"/>
      <c r="H416" s="135"/>
      <c r="I416" s="135"/>
      <c r="J416" s="203">
        <v>1540</v>
      </c>
      <c r="K416" s="182">
        <f t="shared" si="20"/>
        <v>492.8</v>
      </c>
      <c r="L416" s="182">
        <f t="shared" si="21"/>
        <v>1047.2</v>
      </c>
      <c r="M416" s="128"/>
      <c r="N416" s="129">
        <f t="shared" si="22"/>
        <v>125855.40999999987</v>
      </c>
    </row>
    <row r="417" spans="1:14" ht="14.25" x14ac:dyDescent="0.2">
      <c r="A417" s="201">
        <v>43672</v>
      </c>
      <c r="B417" s="184"/>
      <c r="C417" s="126"/>
      <c r="D417" s="135"/>
      <c r="E417" s="122"/>
      <c r="F417" s="122"/>
      <c r="G417" s="126"/>
      <c r="H417" s="135"/>
      <c r="I417" s="135"/>
      <c r="J417" s="203">
        <v>592</v>
      </c>
      <c r="K417" s="182">
        <f t="shared" si="20"/>
        <v>189.44</v>
      </c>
      <c r="L417" s="182">
        <f t="shared" si="21"/>
        <v>402.56</v>
      </c>
      <c r="M417" s="128"/>
      <c r="N417" s="129">
        <f t="shared" si="22"/>
        <v>126257.96999999987</v>
      </c>
    </row>
    <row r="418" spans="1:14" ht="14.25" x14ac:dyDescent="0.2">
      <c r="A418" s="201">
        <v>43676</v>
      </c>
      <c r="B418" s="184"/>
      <c r="C418" s="126"/>
      <c r="D418" s="135"/>
      <c r="E418" s="122"/>
      <c r="F418" s="122"/>
      <c r="G418" s="126"/>
      <c r="H418" s="135"/>
      <c r="I418" s="135"/>
      <c r="J418" s="202">
        <v>617</v>
      </c>
      <c r="K418" s="182">
        <f t="shared" si="20"/>
        <v>197.44</v>
      </c>
      <c r="L418" s="182">
        <f t="shared" si="21"/>
        <v>419.56</v>
      </c>
      <c r="M418" s="128"/>
      <c r="N418" s="129">
        <f t="shared" si="22"/>
        <v>126677.52999999987</v>
      </c>
    </row>
    <row r="419" spans="1:14" ht="14.25" x14ac:dyDescent="0.2">
      <c r="A419" s="131">
        <v>43677</v>
      </c>
      <c r="B419" s="212"/>
      <c r="C419" s="122"/>
      <c r="D419" s="122"/>
      <c r="F419" s="122"/>
      <c r="G419" s="133"/>
      <c r="H419" s="123"/>
      <c r="I419" s="123"/>
      <c r="J419" s="127">
        <v>308</v>
      </c>
      <c r="K419" s="182">
        <f t="shared" si="20"/>
        <v>98.56</v>
      </c>
      <c r="L419" s="182">
        <f t="shared" si="21"/>
        <v>209.44000000000003</v>
      </c>
      <c r="M419" s="128"/>
      <c r="N419" s="129">
        <f t="shared" si="22"/>
        <v>126886.96999999987</v>
      </c>
    </row>
    <row r="420" spans="1:14" ht="15" x14ac:dyDescent="0.25">
      <c r="A420" s="533" t="s">
        <v>343</v>
      </c>
      <c r="B420" s="534"/>
      <c r="C420" s="534"/>
      <c r="D420" s="534"/>
      <c r="E420" s="534"/>
      <c r="F420" s="534"/>
      <c r="G420" s="534"/>
      <c r="H420" s="534"/>
      <c r="I420" s="534"/>
      <c r="J420" s="534"/>
      <c r="K420" s="534"/>
      <c r="L420" s="534"/>
      <c r="M420" s="534"/>
      <c r="N420" s="129">
        <f t="shared" si="22"/>
        <v>126886.96999999987</v>
      </c>
    </row>
    <row r="421" spans="1:14" ht="15" x14ac:dyDescent="0.25">
      <c r="A421" s="213">
        <v>43313</v>
      </c>
      <c r="B421" s="249" t="s">
        <v>344</v>
      </c>
      <c r="C421" s="215"/>
      <c r="D421" s="249" t="s">
        <v>345</v>
      </c>
      <c r="E421" s="216"/>
      <c r="F421" s="216" t="s">
        <v>346</v>
      </c>
      <c r="G421" s="216" t="s">
        <v>347</v>
      </c>
      <c r="J421" s="216"/>
      <c r="K421" s="216"/>
      <c r="L421" s="216"/>
      <c r="M421" s="129">
        <v>7080</v>
      </c>
      <c r="N421" s="129">
        <f t="shared" si="22"/>
        <v>119806.96999999987</v>
      </c>
    </row>
    <row r="422" spans="1:14" s="312" customFormat="1" x14ac:dyDescent="0.2">
      <c r="A422" s="331">
        <v>43313</v>
      </c>
      <c r="B422" s="303"/>
      <c r="C422" s="304"/>
      <c r="D422" s="304"/>
      <c r="E422" s="304"/>
      <c r="F422" s="304" t="s">
        <v>348</v>
      </c>
      <c r="G422" s="328" t="s">
        <v>525</v>
      </c>
      <c r="H422" s="329"/>
      <c r="I422" s="311">
        <v>1344</v>
      </c>
      <c r="J422" s="309"/>
      <c r="K422" s="310"/>
      <c r="L422" s="310"/>
      <c r="M422" s="311">
        <v>0</v>
      </c>
      <c r="N422" s="311">
        <f t="shared" si="22"/>
        <v>119806.96999999987</v>
      </c>
    </row>
    <row r="423" spans="1:14" s="312" customFormat="1" x14ac:dyDescent="0.2">
      <c r="A423" s="327"/>
      <c r="B423" s="336" t="s">
        <v>349</v>
      </c>
      <c r="C423" s="337" t="s">
        <v>350</v>
      </c>
      <c r="D423" s="304"/>
      <c r="E423" s="304"/>
      <c r="F423" s="305"/>
      <c r="G423" s="328" t="s">
        <v>351</v>
      </c>
      <c r="H423" s="307"/>
      <c r="I423" s="308">
        <v>2820</v>
      </c>
      <c r="J423" s="309"/>
      <c r="K423" s="310"/>
      <c r="L423" s="310"/>
      <c r="M423" s="308">
        <v>0</v>
      </c>
      <c r="N423" s="311">
        <f t="shared" si="22"/>
        <v>119806.96999999987</v>
      </c>
    </row>
    <row r="424" spans="1:14" x14ac:dyDescent="0.2">
      <c r="A424" s="185">
        <v>43313</v>
      </c>
      <c r="B424" s="151" t="s">
        <v>352</v>
      </c>
      <c r="C424" s="152"/>
      <c r="D424" s="186" t="s">
        <v>353</v>
      </c>
      <c r="E424" s="122"/>
      <c r="F424" s="146" t="s">
        <v>354</v>
      </c>
      <c r="G424" s="147" t="s">
        <v>355</v>
      </c>
      <c r="H424" s="148"/>
      <c r="I424" s="148"/>
      <c r="J424" s="127"/>
      <c r="K424" s="128"/>
      <c r="L424" s="128"/>
      <c r="M424" s="149">
        <v>800</v>
      </c>
      <c r="N424" s="129">
        <f t="shared" si="22"/>
        <v>119006.96999999987</v>
      </c>
    </row>
    <row r="425" spans="1:14" x14ac:dyDescent="0.2">
      <c r="A425" s="131"/>
      <c r="B425" s="151" t="s">
        <v>356</v>
      </c>
      <c r="C425" s="152"/>
      <c r="D425" s="186" t="s">
        <v>357</v>
      </c>
      <c r="E425" s="122"/>
      <c r="F425" s="122"/>
      <c r="G425" s="147" t="s">
        <v>358</v>
      </c>
      <c r="H425" s="123"/>
      <c r="I425" s="123"/>
      <c r="J425" s="127"/>
      <c r="K425" s="128"/>
      <c r="L425" s="128"/>
      <c r="M425" s="149">
        <v>800</v>
      </c>
      <c r="N425" s="129">
        <f t="shared" si="22"/>
        <v>118206.96999999987</v>
      </c>
    </row>
    <row r="426" spans="1:14" x14ac:dyDescent="0.2">
      <c r="A426" s="131">
        <v>43327</v>
      </c>
      <c r="B426" s="151" t="s">
        <v>359</v>
      </c>
      <c r="C426" s="152"/>
      <c r="D426" s="186" t="s">
        <v>360</v>
      </c>
      <c r="E426" s="122"/>
      <c r="F426" s="122" t="s">
        <v>361</v>
      </c>
      <c r="G426" s="133" t="s">
        <v>362</v>
      </c>
      <c r="H426" s="123"/>
      <c r="I426" s="123"/>
      <c r="J426" s="127"/>
      <c r="K426" s="128"/>
      <c r="L426" s="128"/>
      <c r="M426" s="149">
        <v>800</v>
      </c>
      <c r="N426" s="129">
        <f t="shared" si="22"/>
        <v>117406.96999999987</v>
      </c>
    </row>
    <row r="427" spans="1:14" x14ac:dyDescent="0.2">
      <c r="A427" s="255"/>
      <c r="B427" s="116"/>
      <c r="C427" s="256"/>
      <c r="D427" s="256"/>
      <c r="E427" s="256"/>
      <c r="F427" s="256"/>
      <c r="G427" s="101"/>
      <c r="H427" s="101"/>
      <c r="I427" s="101"/>
      <c r="J427" s="202"/>
      <c r="K427" s="257"/>
      <c r="L427" s="257"/>
      <c r="M427" s="257"/>
      <c r="N427" s="129">
        <f t="shared" si="22"/>
        <v>117406.96999999987</v>
      </c>
    </row>
    <row r="428" spans="1:14" x14ac:dyDescent="0.2">
      <c r="A428" s="255"/>
      <c r="B428" s="116"/>
      <c r="C428" s="256"/>
      <c r="D428" s="256"/>
      <c r="E428" s="256"/>
      <c r="F428" s="256"/>
      <c r="G428" s="101"/>
      <c r="H428" s="101"/>
      <c r="I428" s="101"/>
      <c r="J428" s="202"/>
      <c r="K428" s="257"/>
      <c r="L428" s="257"/>
      <c r="M428" s="257"/>
      <c r="N428" s="129">
        <f t="shared" si="22"/>
        <v>117406.96999999987</v>
      </c>
    </row>
    <row r="429" spans="1:14" x14ac:dyDescent="0.2">
      <c r="A429" s="255"/>
      <c r="B429" s="116"/>
      <c r="C429" s="256"/>
      <c r="D429" s="256"/>
      <c r="E429" s="256"/>
      <c r="F429" s="256"/>
      <c r="G429" s="101"/>
      <c r="H429" s="101"/>
      <c r="I429" s="101"/>
      <c r="J429" s="202"/>
      <c r="K429" s="257"/>
      <c r="L429" s="257"/>
      <c r="M429" s="257"/>
      <c r="N429" s="129">
        <f t="shared" si="22"/>
        <v>117406.96999999987</v>
      </c>
    </row>
    <row r="430" spans="1:14" x14ac:dyDescent="0.2">
      <c r="A430" s="255"/>
      <c r="B430" s="116"/>
      <c r="C430" s="256"/>
      <c r="D430" s="256"/>
      <c r="E430" s="256"/>
      <c r="F430" s="256"/>
      <c r="G430" s="101"/>
      <c r="H430" s="101"/>
      <c r="I430" s="101"/>
      <c r="J430" s="202"/>
      <c r="K430" s="257"/>
      <c r="L430" s="257"/>
      <c r="M430" s="257"/>
      <c r="N430" s="129">
        <f t="shared" si="22"/>
        <v>117406.96999999987</v>
      </c>
    </row>
    <row r="431" spans="1:14" x14ac:dyDescent="0.2">
      <c r="A431" s="131"/>
      <c r="B431" s="132"/>
      <c r="C431" s="122"/>
      <c r="D431" s="122"/>
      <c r="E431" s="122"/>
      <c r="F431" s="122"/>
      <c r="G431" s="133"/>
      <c r="H431" s="123"/>
      <c r="I431" s="123"/>
      <c r="J431" s="127"/>
      <c r="K431" s="128"/>
      <c r="L431" s="128"/>
      <c r="M431" s="149"/>
      <c r="N431" s="129"/>
    </row>
    <row r="432" spans="1:14" ht="13.5" thickBot="1" x14ac:dyDescent="0.25">
      <c r="A432" s="238"/>
      <c r="B432" s="239"/>
      <c r="C432" s="240"/>
      <c r="D432" s="240"/>
      <c r="E432" s="241"/>
      <c r="F432" s="242"/>
      <c r="G432" s="243"/>
      <c r="H432" s="244" t="s">
        <v>250</v>
      </c>
      <c r="I432" s="244"/>
      <c r="J432" s="161">
        <f>SUM(J393:J419)</f>
        <v>9591</v>
      </c>
      <c r="K432" s="245">
        <f>SUM(K393:K419)</f>
        <v>3069.1200000000003</v>
      </c>
      <c r="L432" s="246">
        <f>SUM(L393:L419)</f>
        <v>6521.8799999999992</v>
      </c>
      <c r="M432" s="247">
        <f>SUM(M421:M426)</f>
        <v>9480</v>
      </c>
      <c r="N432" s="248"/>
    </row>
    <row r="433" spans="1:14" ht="13.5" thickBot="1" x14ac:dyDescent="0.25">
      <c r="A433" s="166"/>
      <c r="C433" s="168"/>
      <c r="D433" s="168"/>
      <c r="E433" s="169"/>
      <c r="F433" s="170"/>
      <c r="G433" s="171"/>
      <c r="H433" s="160" t="s">
        <v>13</v>
      </c>
      <c r="I433" s="314"/>
      <c r="J433" s="172"/>
      <c r="K433" s="173"/>
      <c r="L433" s="174"/>
      <c r="M433" s="174"/>
      <c r="N433" s="175">
        <f>+L432-M432+N392</f>
        <v>117406.96999999986</v>
      </c>
    </row>
    <row r="434" spans="1:14" x14ac:dyDescent="0.2">
      <c r="A434" s="166"/>
      <c r="C434" s="168"/>
      <c r="D434" s="168"/>
      <c r="E434" s="169"/>
      <c r="F434" s="170"/>
      <c r="G434" s="171"/>
      <c r="H434" s="171"/>
      <c r="I434" s="171"/>
      <c r="J434" s="189"/>
      <c r="K434" s="188"/>
      <c r="L434" s="180"/>
      <c r="M434" s="180"/>
      <c r="N434" s="189"/>
    </row>
    <row r="435" spans="1:14" x14ac:dyDescent="0.2">
      <c r="A435" s="527" t="s">
        <v>95</v>
      </c>
      <c r="B435" s="528"/>
      <c r="C435" s="528"/>
      <c r="D435" s="528"/>
      <c r="E435" s="528"/>
      <c r="F435" s="528"/>
      <c r="G435" s="528"/>
      <c r="H435" s="528"/>
      <c r="I435" s="528"/>
      <c r="J435" s="528"/>
      <c r="K435" s="528"/>
      <c r="L435" s="528"/>
      <c r="M435" s="528"/>
      <c r="N435" s="529"/>
    </row>
    <row r="436" spans="1:14" x14ac:dyDescent="0.2">
      <c r="A436" s="530"/>
      <c r="B436" s="531"/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2"/>
    </row>
    <row r="437" spans="1:14" ht="15" x14ac:dyDescent="0.25">
      <c r="A437" s="533" t="s">
        <v>363</v>
      </c>
      <c r="B437" s="534"/>
      <c r="C437" s="534"/>
      <c r="D437" s="534"/>
      <c r="E437" s="534"/>
      <c r="F437" s="534"/>
      <c r="G437" s="534"/>
      <c r="H437" s="534"/>
      <c r="I437" s="534"/>
      <c r="J437" s="534"/>
      <c r="K437" s="534"/>
      <c r="L437" s="534"/>
      <c r="M437" s="534"/>
      <c r="N437" s="534"/>
    </row>
    <row r="438" spans="1:14" x14ac:dyDescent="0.2">
      <c r="A438" s="115" t="s">
        <v>1</v>
      </c>
      <c r="B438" s="116" t="s">
        <v>2</v>
      </c>
      <c r="C438" s="117" t="s">
        <v>3</v>
      </c>
      <c r="D438" s="117" t="s">
        <v>4</v>
      </c>
      <c r="E438" s="117" t="s">
        <v>96</v>
      </c>
      <c r="F438" s="117" t="s">
        <v>5</v>
      </c>
      <c r="G438" s="118" t="s">
        <v>97</v>
      </c>
      <c r="H438" s="118" t="s">
        <v>6</v>
      </c>
      <c r="I438" s="118"/>
      <c r="J438" s="117" t="s">
        <v>7</v>
      </c>
      <c r="K438" s="117" t="s">
        <v>8</v>
      </c>
      <c r="L438" s="117" t="s">
        <v>9</v>
      </c>
      <c r="M438" s="119" t="s">
        <v>10</v>
      </c>
      <c r="N438" s="117" t="s">
        <v>11</v>
      </c>
    </row>
    <row r="439" spans="1:14" x14ac:dyDescent="0.2">
      <c r="A439" s="120"/>
      <c r="B439" s="121"/>
      <c r="C439" s="122"/>
      <c r="D439" s="122"/>
      <c r="E439" s="122"/>
      <c r="F439" s="122"/>
      <c r="G439" s="101"/>
      <c r="H439" s="123"/>
      <c r="I439" s="123"/>
      <c r="J439" s="124"/>
      <c r="K439" s="125"/>
      <c r="L439" s="125"/>
      <c r="M439" s="125"/>
      <c r="N439" s="124">
        <f>N433</f>
        <v>117406.96999999986</v>
      </c>
    </row>
    <row r="440" spans="1:14" ht="14.25" x14ac:dyDescent="0.2">
      <c r="A440" s="201">
        <v>43313</v>
      </c>
      <c r="B440" s="184" t="s">
        <v>364</v>
      </c>
      <c r="C440" s="126"/>
      <c r="D440" s="122"/>
      <c r="E440" s="122"/>
      <c r="F440" s="122"/>
      <c r="G440" s="126" t="s">
        <v>365</v>
      </c>
      <c r="H440" s="122"/>
      <c r="I440" s="122"/>
      <c r="J440" s="190">
        <v>288</v>
      </c>
      <c r="K440" s="182">
        <f>+J440*0.32</f>
        <v>92.16</v>
      </c>
      <c r="L440" s="182">
        <f>+J440*0.68</f>
        <v>195.84</v>
      </c>
      <c r="M440" s="128"/>
      <c r="N440" s="129">
        <f>+L440-M440+N439</f>
        <v>117602.80999999985</v>
      </c>
    </row>
    <row r="441" spans="1:14" ht="14.25" x14ac:dyDescent="0.2">
      <c r="A441" s="201">
        <v>43314</v>
      </c>
      <c r="B441" s="184" t="s">
        <v>364</v>
      </c>
      <c r="C441" s="126"/>
      <c r="D441" s="122"/>
      <c r="E441" s="122"/>
      <c r="F441" s="122"/>
      <c r="G441" s="126" t="s">
        <v>365</v>
      </c>
      <c r="H441" s="122"/>
      <c r="I441" s="122"/>
      <c r="J441" s="190">
        <v>616</v>
      </c>
      <c r="K441" s="182">
        <f>+J441*0.32</f>
        <v>197.12</v>
      </c>
      <c r="L441" s="182">
        <f>+J441*0.68</f>
        <v>418.88000000000005</v>
      </c>
      <c r="M441" s="128"/>
      <c r="N441" s="129">
        <f>+L441-M441+N440</f>
        <v>118021.68999999986</v>
      </c>
    </row>
    <row r="442" spans="1:14" ht="14.25" x14ac:dyDescent="0.2">
      <c r="A442" s="201">
        <v>43315</v>
      </c>
      <c r="B442" s="184" t="s">
        <v>364</v>
      </c>
      <c r="C442" s="126"/>
      <c r="D442" s="122"/>
      <c r="E442" s="183"/>
      <c r="F442" s="183"/>
      <c r="G442" s="126" t="s">
        <v>365</v>
      </c>
      <c r="H442" s="122"/>
      <c r="I442" s="122"/>
      <c r="J442" s="190">
        <v>428</v>
      </c>
      <c r="K442" s="182">
        <f t="shared" ref="K442:K482" si="23">+J442*0.32</f>
        <v>136.96</v>
      </c>
      <c r="L442" s="182">
        <f t="shared" ref="L442:L482" si="24">+J442*0.68</f>
        <v>291.04000000000002</v>
      </c>
      <c r="M442" s="128"/>
      <c r="N442" s="129">
        <f t="shared" ref="N442:N499" si="25">+L442-M442+N441</f>
        <v>118312.72999999985</v>
      </c>
    </row>
    <row r="443" spans="1:14" ht="14.25" x14ac:dyDescent="0.2">
      <c r="A443" s="201">
        <v>43318</v>
      </c>
      <c r="B443" s="184" t="s">
        <v>364</v>
      </c>
      <c r="C443" s="126"/>
      <c r="D443" s="122"/>
      <c r="E443" s="122"/>
      <c r="F443" s="122"/>
      <c r="G443" s="126" t="s">
        <v>365</v>
      </c>
      <c r="H443" s="122"/>
      <c r="I443" s="122"/>
      <c r="J443" s="190">
        <v>304</v>
      </c>
      <c r="K443" s="182">
        <f t="shared" si="23"/>
        <v>97.28</v>
      </c>
      <c r="L443" s="182">
        <f t="shared" si="24"/>
        <v>206.72000000000003</v>
      </c>
      <c r="M443" s="128"/>
      <c r="N443" s="129">
        <f t="shared" si="25"/>
        <v>118519.44999999985</v>
      </c>
    </row>
    <row r="444" spans="1:14" ht="14.25" x14ac:dyDescent="0.2">
      <c r="A444" s="201">
        <v>43319</v>
      </c>
      <c r="B444" s="184" t="s">
        <v>364</v>
      </c>
      <c r="C444" s="126"/>
      <c r="D444" s="122"/>
      <c r="E444" s="122"/>
      <c r="F444" s="122"/>
      <c r="G444" s="126" t="s">
        <v>365</v>
      </c>
      <c r="H444" s="122"/>
      <c r="I444" s="122"/>
      <c r="J444" s="190">
        <v>249</v>
      </c>
      <c r="K444" s="182">
        <f t="shared" si="23"/>
        <v>79.680000000000007</v>
      </c>
      <c r="L444" s="182">
        <f t="shared" si="24"/>
        <v>169.32000000000002</v>
      </c>
      <c r="M444" s="128"/>
      <c r="N444" s="129">
        <f t="shared" si="25"/>
        <v>118688.76999999986</v>
      </c>
    </row>
    <row r="445" spans="1:14" ht="14.25" x14ac:dyDescent="0.2">
      <c r="A445" s="201">
        <v>43320</v>
      </c>
      <c r="B445" s="184" t="s">
        <v>364</v>
      </c>
      <c r="C445" s="126"/>
      <c r="D445" s="122"/>
      <c r="E445" s="122"/>
      <c r="F445" s="122"/>
      <c r="G445" s="126" t="s">
        <v>365</v>
      </c>
      <c r="H445" s="122"/>
      <c r="I445" s="122"/>
      <c r="J445" s="203">
        <v>986</v>
      </c>
      <c r="K445" s="182">
        <f t="shared" si="23"/>
        <v>315.52</v>
      </c>
      <c r="L445" s="182">
        <f t="shared" si="24"/>
        <v>670.48</v>
      </c>
      <c r="M445" s="128"/>
      <c r="N445" s="129">
        <f t="shared" si="25"/>
        <v>119359.24999999985</v>
      </c>
    </row>
    <row r="446" spans="1:14" ht="14.25" x14ac:dyDescent="0.2">
      <c r="A446" s="201">
        <v>43322</v>
      </c>
      <c r="B446" s="184" t="s">
        <v>364</v>
      </c>
      <c r="C446" s="126"/>
      <c r="D446" s="122"/>
      <c r="E446" s="122"/>
      <c r="F446" s="122"/>
      <c r="G446" s="126" t="s">
        <v>365</v>
      </c>
      <c r="H446" s="122"/>
      <c r="I446" s="122"/>
      <c r="J446" s="203">
        <v>144</v>
      </c>
      <c r="K446" s="182">
        <f t="shared" si="23"/>
        <v>46.08</v>
      </c>
      <c r="L446" s="182">
        <f t="shared" si="24"/>
        <v>97.92</v>
      </c>
      <c r="M446" s="128"/>
      <c r="N446" s="129">
        <f t="shared" si="25"/>
        <v>119457.16999999985</v>
      </c>
    </row>
    <row r="447" spans="1:14" ht="14.25" x14ac:dyDescent="0.2">
      <c r="A447" s="201">
        <v>43323</v>
      </c>
      <c r="B447" s="184" t="s">
        <v>364</v>
      </c>
      <c r="C447" s="126"/>
      <c r="D447" s="122"/>
      <c r="E447" s="122"/>
      <c r="F447" s="122"/>
      <c r="G447" s="126" t="s">
        <v>365</v>
      </c>
      <c r="H447" s="122"/>
      <c r="I447" s="122"/>
      <c r="J447" s="203">
        <v>414</v>
      </c>
      <c r="K447" s="182">
        <f t="shared" si="23"/>
        <v>132.47999999999999</v>
      </c>
      <c r="L447" s="182">
        <f t="shared" si="24"/>
        <v>281.52000000000004</v>
      </c>
      <c r="M447" s="128"/>
      <c r="N447" s="129">
        <f t="shared" si="25"/>
        <v>119738.68999999986</v>
      </c>
    </row>
    <row r="448" spans="1:14" ht="14.25" x14ac:dyDescent="0.2">
      <c r="A448" s="201">
        <v>43325</v>
      </c>
      <c r="B448" s="184" t="s">
        <v>364</v>
      </c>
      <c r="C448" s="126"/>
      <c r="D448" s="122"/>
      <c r="E448" s="122"/>
      <c r="F448" s="122"/>
      <c r="G448" s="126" t="s">
        <v>365</v>
      </c>
      <c r="H448" s="122"/>
      <c r="I448" s="122"/>
      <c r="J448" s="203">
        <v>972</v>
      </c>
      <c r="K448" s="182">
        <f t="shared" si="23"/>
        <v>311.04000000000002</v>
      </c>
      <c r="L448" s="182">
        <f t="shared" si="24"/>
        <v>660.96</v>
      </c>
      <c r="M448" s="128"/>
      <c r="N448" s="129">
        <f t="shared" si="25"/>
        <v>120399.64999999986</v>
      </c>
    </row>
    <row r="449" spans="1:14" ht="14.25" x14ac:dyDescent="0.2">
      <c r="A449" s="201">
        <v>43326</v>
      </c>
      <c r="B449" s="184" t="s">
        <v>364</v>
      </c>
      <c r="C449" s="126"/>
      <c r="D449" s="122"/>
      <c r="E449" s="122"/>
      <c r="F449" s="122"/>
      <c r="G449" s="126" t="s">
        <v>365</v>
      </c>
      <c r="H449" s="122"/>
      <c r="I449" s="122"/>
      <c r="J449" s="203">
        <v>144</v>
      </c>
      <c r="K449" s="182">
        <f t="shared" si="23"/>
        <v>46.08</v>
      </c>
      <c r="L449" s="182">
        <f t="shared" si="24"/>
        <v>97.92</v>
      </c>
      <c r="M449" s="128"/>
      <c r="N449" s="129">
        <f t="shared" si="25"/>
        <v>120497.56999999986</v>
      </c>
    </row>
    <row r="450" spans="1:14" ht="14.25" x14ac:dyDescent="0.2">
      <c r="A450" s="201">
        <v>43327</v>
      </c>
      <c r="B450" s="184" t="s">
        <v>364</v>
      </c>
      <c r="C450" s="126"/>
      <c r="D450" s="135"/>
      <c r="E450" s="122"/>
      <c r="F450" s="122"/>
      <c r="G450" s="126" t="s">
        <v>365</v>
      </c>
      <c r="H450" s="135"/>
      <c r="I450" s="135"/>
      <c r="J450" s="203">
        <v>548</v>
      </c>
      <c r="K450" s="182">
        <f t="shared" si="23"/>
        <v>175.36</v>
      </c>
      <c r="L450" s="182">
        <f t="shared" si="24"/>
        <v>372.64000000000004</v>
      </c>
      <c r="M450" s="128"/>
      <c r="N450" s="129">
        <f t="shared" si="25"/>
        <v>120870.20999999986</v>
      </c>
    </row>
    <row r="451" spans="1:14" ht="14.25" x14ac:dyDescent="0.2">
      <c r="A451" s="201">
        <v>43328</v>
      </c>
      <c r="B451" s="184" t="s">
        <v>364</v>
      </c>
      <c r="C451" s="126"/>
      <c r="D451" s="135"/>
      <c r="E451" s="122"/>
      <c r="F451" s="122"/>
      <c r="G451" s="126" t="s">
        <v>365</v>
      </c>
      <c r="H451" s="135"/>
      <c r="I451" s="135"/>
      <c r="J451" s="203">
        <v>314</v>
      </c>
      <c r="K451" s="182">
        <f t="shared" si="23"/>
        <v>100.48</v>
      </c>
      <c r="L451" s="182">
        <f t="shared" si="24"/>
        <v>213.52</v>
      </c>
      <c r="M451" s="128"/>
      <c r="N451" s="129">
        <f t="shared" si="25"/>
        <v>121083.72999999986</v>
      </c>
    </row>
    <row r="452" spans="1:14" ht="14.25" x14ac:dyDescent="0.2">
      <c r="A452" s="201">
        <v>43329</v>
      </c>
      <c r="B452" s="184" t="s">
        <v>364</v>
      </c>
      <c r="C452" s="126"/>
      <c r="D452" s="135"/>
      <c r="E452" s="122"/>
      <c r="F452" s="122"/>
      <c r="G452" s="126" t="s">
        <v>365</v>
      </c>
      <c r="H452" s="135"/>
      <c r="I452" s="135"/>
      <c r="J452" s="203">
        <v>636</v>
      </c>
      <c r="K452" s="182">
        <f t="shared" si="23"/>
        <v>203.52</v>
      </c>
      <c r="L452" s="182">
        <f t="shared" si="24"/>
        <v>432.48</v>
      </c>
      <c r="M452" s="128"/>
      <c r="N452" s="129">
        <f t="shared" si="25"/>
        <v>121516.20999999986</v>
      </c>
    </row>
    <row r="453" spans="1:14" ht="14.25" x14ac:dyDescent="0.2">
      <c r="A453" s="201">
        <v>43332</v>
      </c>
      <c r="B453" s="184" t="s">
        <v>366</v>
      </c>
      <c r="C453" s="126"/>
      <c r="D453" s="135"/>
      <c r="E453" s="122"/>
      <c r="F453" s="122"/>
      <c r="G453" s="126" t="s">
        <v>367</v>
      </c>
      <c r="H453" s="135"/>
      <c r="I453" s="135"/>
      <c r="J453" s="203">
        <v>458</v>
      </c>
      <c r="K453" s="182">
        <f t="shared" si="23"/>
        <v>146.56</v>
      </c>
      <c r="L453" s="182">
        <f t="shared" si="24"/>
        <v>311.44</v>
      </c>
      <c r="M453" s="128"/>
      <c r="N453" s="129">
        <f t="shared" si="25"/>
        <v>121827.64999999986</v>
      </c>
    </row>
    <row r="454" spans="1:14" ht="14.25" x14ac:dyDescent="0.2">
      <c r="A454" s="201">
        <v>43333</v>
      </c>
      <c r="B454" s="184" t="s">
        <v>366</v>
      </c>
      <c r="C454" s="122"/>
      <c r="D454" s="122"/>
      <c r="E454" s="256"/>
      <c r="F454" s="122"/>
      <c r="G454" s="126" t="s">
        <v>367</v>
      </c>
      <c r="H454" s="123"/>
      <c r="I454" s="123"/>
      <c r="J454" s="203">
        <v>616</v>
      </c>
      <c r="K454" s="182">
        <f t="shared" si="23"/>
        <v>197.12</v>
      </c>
      <c r="L454" s="182">
        <f t="shared" si="24"/>
        <v>418.88000000000005</v>
      </c>
      <c r="M454" s="128"/>
      <c r="N454" s="129">
        <f t="shared" si="25"/>
        <v>122246.52999999987</v>
      </c>
    </row>
    <row r="455" spans="1:14" ht="14.25" x14ac:dyDescent="0.2">
      <c r="A455" s="201">
        <v>43334</v>
      </c>
      <c r="B455" s="184" t="s">
        <v>366</v>
      </c>
      <c r="C455" s="122"/>
      <c r="D455" s="122"/>
      <c r="E455" s="256"/>
      <c r="F455" s="122"/>
      <c r="G455" s="126" t="s">
        <v>367</v>
      </c>
      <c r="H455" s="123"/>
      <c r="I455" s="123"/>
      <c r="J455" s="203">
        <v>1068</v>
      </c>
      <c r="K455" s="182">
        <f t="shared" si="23"/>
        <v>341.76</v>
      </c>
      <c r="L455" s="182">
        <f t="shared" si="24"/>
        <v>726.24</v>
      </c>
      <c r="M455" s="128"/>
      <c r="N455" s="129">
        <f t="shared" si="25"/>
        <v>122972.76999999987</v>
      </c>
    </row>
    <row r="456" spans="1:14" ht="14.25" x14ac:dyDescent="0.2">
      <c r="A456" s="201">
        <v>43335</v>
      </c>
      <c r="B456" s="184" t="s">
        <v>366</v>
      </c>
      <c r="C456" s="122"/>
      <c r="D456" s="122"/>
      <c r="E456" s="256"/>
      <c r="F456" s="122"/>
      <c r="G456" s="126" t="s">
        <v>367</v>
      </c>
      <c r="H456" s="123"/>
      <c r="I456" s="123"/>
      <c r="J456" s="203">
        <v>861</v>
      </c>
      <c r="K456" s="182">
        <f t="shared" si="23"/>
        <v>275.52</v>
      </c>
      <c r="L456" s="182">
        <f t="shared" si="24"/>
        <v>585.48</v>
      </c>
      <c r="M456" s="128"/>
      <c r="N456" s="129">
        <f t="shared" si="25"/>
        <v>123558.24999999987</v>
      </c>
    </row>
    <row r="457" spans="1:14" ht="14.25" x14ac:dyDescent="0.2">
      <c r="A457" s="201">
        <v>43336</v>
      </c>
      <c r="B457" s="184" t="s">
        <v>366</v>
      </c>
      <c r="C457" s="122"/>
      <c r="D457" s="122"/>
      <c r="E457" s="256"/>
      <c r="F457" s="122"/>
      <c r="G457" s="126" t="s">
        <v>367</v>
      </c>
      <c r="H457" s="123"/>
      <c r="I457" s="123"/>
      <c r="J457" s="203">
        <v>616</v>
      </c>
      <c r="K457" s="182">
        <f t="shared" si="23"/>
        <v>197.12</v>
      </c>
      <c r="L457" s="182">
        <f t="shared" si="24"/>
        <v>418.88000000000005</v>
      </c>
      <c r="M457" s="128"/>
      <c r="N457" s="129">
        <f t="shared" si="25"/>
        <v>123977.12999999987</v>
      </c>
    </row>
    <row r="458" spans="1:14" ht="14.25" x14ac:dyDescent="0.2">
      <c r="A458" s="201">
        <v>43337</v>
      </c>
      <c r="B458" s="184" t="s">
        <v>366</v>
      </c>
      <c r="C458" s="122"/>
      <c r="D458" s="122"/>
      <c r="E458" s="256"/>
      <c r="F458" s="122"/>
      <c r="G458" s="126" t="s">
        <v>367</v>
      </c>
      <c r="H458" s="123"/>
      <c r="I458" s="123"/>
      <c r="J458" s="203">
        <v>20</v>
      </c>
      <c r="K458" s="182">
        <f t="shared" si="23"/>
        <v>6.4</v>
      </c>
      <c r="L458" s="182">
        <f t="shared" si="24"/>
        <v>13.600000000000001</v>
      </c>
      <c r="M458" s="128"/>
      <c r="N458" s="129">
        <f t="shared" si="25"/>
        <v>123990.72999999988</v>
      </c>
    </row>
    <row r="459" spans="1:14" ht="14.25" x14ac:dyDescent="0.2">
      <c r="A459" s="201">
        <v>43339</v>
      </c>
      <c r="B459" s="184" t="s">
        <v>366</v>
      </c>
      <c r="C459" s="122"/>
      <c r="D459" s="122"/>
      <c r="E459" s="256"/>
      <c r="F459" s="122"/>
      <c r="G459" s="126" t="s">
        <v>367</v>
      </c>
      <c r="H459" s="123"/>
      <c r="I459" s="123"/>
      <c r="J459" s="203">
        <v>472</v>
      </c>
      <c r="K459" s="182">
        <f t="shared" si="23"/>
        <v>151.04</v>
      </c>
      <c r="L459" s="182">
        <f t="shared" si="24"/>
        <v>320.96000000000004</v>
      </c>
      <c r="M459" s="128"/>
      <c r="N459" s="129">
        <f t="shared" si="25"/>
        <v>124311.68999999989</v>
      </c>
    </row>
    <row r="460" spans="1:14" ht="14.25" x14ac:dyDescent="0.2">
      <c r="A460" s="201">
        <v>43340</v>
      </c>
      <c r="B460" s="184" t="s">
        <v>368</v>
      </c>
      <c r="C460" s="122"/>
      <c r="D460" s="122"/>
      <c r="E460" s="256"/>
      <c r="F460" s="122"/>
      <c r="G460" s="126" t="s">
        <v>369</v>
      </c>
      <c r="H460" s="123"/>
      <c r="I460" s="123"/>
      <c r="J460" s="203">
        <v>656</v>
      </c>
      <c r="K460" s="182">
        <f t="shared" si="23"/>
        <v>209.92000000000002</v>
      </c>
      <c r="L460" s="182">
        <f t="shared" si="24"/>
        <v>446.08000000000004</v>
      </c>
      <c r="M460" s="128"/>
      <c r="N460" s="129">
        <f t="shared" si="25"/>
        <v>124757.76999999989</v>
      </c>
    </row>
    <row r="461" spans="1:14" ht="14.25" x14ac:dyDescent="0.2">
      <c r="A461" s="201">
        <v>43341</v>
      </c>
      <c r="B461" s="184" t="s">
        <v>368</v>
      </c>
      <c r="C461" s="141"/>
      <c r="D461" s="141"/>
      <c r="E461" s="258"/>
      <c r="F461" s="141"/>
      <c r="G461" s="126" t="s">
        <v>369</v>
      </c>
      <c r="H461" s="143"/>
      <c r="I461" s="143"/>
      <c r="J461" s="203">
        <v>444</v>
      </c>
      <c r="K461" s="182">
        <f t="shared" si="23"/>
        <v>142.08000000000001</v>
      </c>
      <c r="L461" s="182">
        <f t="shared" si="24"/>
        <v>301.92</v>
      </c>
      <c r="M461" s="145"/>
      <c r="N461" s="129">
        <f t="shared" si="25"/>
        <v>125059.68999999989</v>
      </c>
    </row>
    <row r="462" spans="1:14" ht="14.25" x14ac:dyDescent="0.2">
      <c r="A462" s="201">
        <v>43678</v>
      </c>
      <c r="B462" s="184"/>
      <c r="C462" s="122"/>
      <c r="D462" s="122"/>
      <c r="E462" s="256"/>
      <c r="F462" s="122"/>
      <c r="G462" s="126"/>
      <c r="H462" s="123"/>
      <c r="I462" s="123"/>
      <c r="J462" s="203">
        <v>616</v>
      </c>
      <c r="K462" s="182">
        <f t="shared" si="23"/>
        <v>197.12</v>
      </c>
      <c r="L462" s="182">
        <f t="shared" si="24"/>
        <v>418.88000000000005</v>
      </c>
      <c r="M462" s="145"/>
      <c r="N462" s="129">
        <f t="shared" si="25"/>
        <v>125478.56999999989</v>
      </c>
    </row>
    <row r="463" spans="1:14" ht="14.25" x14ac:dyDescent="0.2">
      <c r="A463" s="201">
        <v>43679</v>
      </c>
      <c r="B463" s="184"/>
      <c r="C463" s="122"/>
      <c r="D463" s="122"/>
      <c r="E463" s="256"/>
      <c r="F463" s="122"/>
      <c r="G463" s="126"/>
      <c r="H463" s="123"/>
      <c r="I463" s="123"/>
      <c r="J463" s="203">
        <v>120</v>
      </c>
      <c r="K463" s="182">
        <f t="shared" si="23"/>
        <v>38.4</v>
      </c>
      <c r="L463" s="182">
        <f t="shared" si="24"/>
        <v>81.600000000000009</v>
      </c>
      <c r="M463" s="145"/>
      <c r="N463" s="129">
        <f t="shared" si="25"/>
        <v>125560.1699999999</v>
      </c>
    </row>
    <row r="464" spans="1:14" ht="14.25" x14ac:dyDescent="0.2">
      <c r="A464" s="201">
        <v>43680</v>
      </c>
      <c r="B464" s="184"/>
      <c r="C464" s="122"/>
      <c r="D464" s="122"/>
      <c r="E464" s="256"/>
      <c r="F464" s="122"/>
      <c r="G464" s="126"/>
      <c r="H464" s="123"/>
      <c r="I464" s="123"/>
      <c r="J464" s="203">
        <v>144</v>
      </c>
      <c r="K464" s="182">
        <f t="shared" si="23"/>
        <v>46.08</v>
      </c>
      <c r="L464" s="182">
        <f t="shared" si="24"/>
        <v>97.92</v>
      </c>
      <c r="M464" s="145"/>
      <c r="N464" s="129">
        <f t="shared" si="25"/>
        <v>125658.08999999989</v>
      </c>
    </row>
    <row r="465" spans="1:14" ht="14.25" x14ac:dyDescent="0.2">
      <c r="A465" s="201">
        <v>43681</v>
      </c>
      <c r="B465" s="184"/>
      <c r="C465" s="122"/>
      <c r="D465" s="122"/>
      <c r="E465" s="256"/>
      <c r="F465" s="122"/>
      <c r="G465" s="126"/>
      <c r="H465" s="123"/>
      <c r="I465" s="123"/>
      <c r="J465" s="203">
        <v>144</v>
      </c>
      <c r="K465" s="182">
        <f t="shared" si="23"/>
        <v>46.08</v>
      </c>
      <c r="L465" s="182">
        <f t="shared" si="24"/>
        <v>97.92</v>
      </c>
      <c r="M465" s="145"/>
      <c r="N465" s="129">
        <f t="shared" si="25"/>
        <v>125756.00999999989</v>
      </c>
    </row>
    <row r="466" spans="1:14" ht="14.25" x14ac:dyDescent="0.2">
      <c r="A466" s="201">
        <v>43684</v>
      </c>
      <c r="B466" s="184"/>
      <c r="C466" s="122"/>
      <c r="D466" s="122"/>
      <c r="E466" s="256"/>
      <c r="F466" s="122"/>
      <c r="G466" s="126"/>
      <c r="H466" s="123"/>
      <c r="I466" s="123"/>
      <c r="J466" s="203">
        <v>616</v>
      </c>
      <c r="K466" s="182">
        <f t="shared" si="23"/>
        <v>197.12</v>
      </c>
      <c r="L466" s="182">
        <f t="shared" si="24"/>
        <v>418.88000000000005</v>
      </c>
      <c r="M466" s="145"/>
      <c r="N466" s="129">
        <f t="shared" si="25"/>
        <v>126174.8899999999</v>
      </c>
    </row>
    <row r="467" spans="1:14" ht="14.25" x14ac:dyDescent="0.2">
      <c r="A467" s="201">
        <v>43685</v>
      </c>
      <c r="B467" s="184"/>
      <c r="C467" s="122"/>
      <c r="D467" s="122"/>
      <c r="E467" s="256"/>
      <c r="F467" s="122"/>
      <c r="G467" s="126"/>
      <c r="H467" s="123"/>
      <c r="I467" s="123"/>
      <c r="J467" s="203">
        <v>658</v>
      </c>
      <c r="K467" s="182">
        <f t="shared" si="23"/>
        <v>210.56</v>
      </c>
      <c r="L467" s="182">
        <f t="shared" si="24"/>
        <v>447.44000000000005</v>
      </c>
      <c r="M467" s="145"/>
      <c r="N467" s="129">
        <f t="shared" si="25"/>
        <v>126622.3299999999</v>
      </c>
    </row>
    <row r="468" spans="1:14" ht="14.25" x14ac:dyDescent="0.2">
      <c r="A468" s="201">
        <v>43687</v>
      </c>
      <c r="B468" s="184"/>
      <c r="C468" s="122"/>
      <c r="D468" s="122"/>
      <c r="E468" s="256"/>
      <c r="F468" s="122"/>
      <c r="G468" s="126"/>
      <c r="H468" s="123"/>
      <c r="I468" s="123"/>
      <c r="J468" s="203">
        <v>174</v>
      </c>
      <c r="K468" s="182">
        <f t="shared" si="23"/>
        <v>55.68</v>
      </c>
      <c r="L468" s="182">
        <f t="shared" si="24"/>
        <v>118.32000000000001</v>
      </c>
      <c r="M468" s="145"/>
      <c r="N468" s="129">
        <f t="shared" si="25"/>
        <v>126740.64999999991</v>
      </c>
    </row>
    <row r="469" spans="1:14" ht="14.25" x14ac:dyDescent="0.2">
      <c r="A469" s="201">
        <v>43688</v>
      </c>
      <c r="B469" s="184"/>
      <c r="C469" s="122"/>
      <c r="D469" s="122"/>
      <c r="E469" s="256"/>
      <c r="F469" s="122"/>
      <c r="G469" s="126"/>
      <c r="H469" s="123"/>
      <c r="I469" s="123"/>
      <c r="J469" s="203">
        <v>164</v>
      </c>
      <c r="K469" s="182">
        <f t="shared" si="23"/>
        <v>52.480000000000004</v>
      </c>
      <c r="L469" s="182">
        <f t="shared" si="24"/>
        <v>111.52000000000001</v>
      </c>
      <c r="M469" s="145"/>
      <c r="N469" s="129">
        <f t="shared" si="25"/>
        <v>126852.16999999991</v>
      </c>
    </row>
    <row r="470" spans="1:14" ht="14.25" x14ac:dyDescent="0.2">
      <c r="A470" s="201">
        <v>43691</v>
      </c>
      <c r="B470" s="184"/>
      <c r="C470" s="122"/>
      <c r="D470" s="122"/>
      <c r="E470" s="256"/>
      <c r="F470" s="122"/>
      <c r="G470" s="126"/>
      <c r="H470" s="123"/>
      <c r="I470" s="123"/>
      <c r="J470" s="203">
        <v>1560</v>
      </c>
      <c r="K470" s="182">
        <f t="shared" si="23"/>
        <v>499.2</v>
      </c>
      <c r="L470" s="182">
        <f t="shared" si="24"/>
        <v>1060.8000000000002</v>
      </c>
      <c r="M470" s="145"/>
      <c r="N470" s="129">
        <f t="shared" si="25"/>
        <v>127912.96999999991</v>
      </c>
    </row>
    <row r="471" spans="1:14" ht="14.25" x14ac:dyDescent="0.2">
      <c r="A471" s="201">
        <v>43692</v>
      </c>
      <c r="B471" s="184"/>
      <c r="C471" s="122"/>
      <c r="D471" s="122"/>
      <c r="E471" s="256"/>
      <c r="F471" s="122"/>
      <c r="G471" s="126"/>
      <c r="H471" s="123"/>
      <c r="I471" s="123"/>
      <c r="J471" s="203">
        <v>1206</v>
      </c>
      <c r="K471" s="182">
        <f t="shared" si="23"/>
        <v>385.92</v>
      </c>
      <c r="L471" s="182">
        <f t="shared" si="24"/>
        <v>820.08</v>
      </c>
      <c r="M471" s="145"/>
      <c r="N471" s="129">
        <f t="shared" si="25"/>
        <v>128733.04999999992</v>
      </c>
    </row>
    <row r="472" spans="1:14" ht="14.25" x14ac:dyDescent="0.2">
      <c r="A472" s="201">
        <v>43693</v>
      </c>
      <c r="B472" s="184"/>
      <c r="C472" s="122"/>
      <c r="D472" s="122"/>
      <c r="E472" s="256"/>
      <c r="F472" s="122"/>
      <c r="G472" s="126"/>
      <c r="H472" s="123"/>
      <c r="I472" s="123"/>
      <c r="J472" s="203">
        <v>656</v>
      </c>
      <c r="K472" s="182">
        <f t="shared" si="23"/>
        <v>209.92000000000002</v>
      </c>
      <c r="L472" s="182">
        <f t="shared" si="24"/>
        <v>446.08000000000004</v>
      </c>
      <c r="M472" s="145"/>
      <c r="N472" s="129">
        <f t="shared" si="25"/>
        <v>129179.12999999992</v>
      </c>
    </row>
    <row r="473" spans="1:14" ht="14.25" x14ac:dyDescent="0.2">
      <c r="A473" s="201">
        <v>43694</v>
      </c>
      <c r="B473" s="184"/>
      <c r="C473" s="122"/>
      <c r="D473" s="122"/>
      <c r="E473" s="256"/>
      <c r="F473" s="122"/>
      <c r="G473" s="126"/>
      <c r="H473" s="123"/>
      <c r="I473" s="123"/>
      <c r="J473" s="203">
        <v>472</v>
      </c>
      <c r="K473" s="182">
        <f t="shared" si="23"/>
        <v>151.04</v>
      </c>
      <c r="L473" s="182">
        <f t="shared" si="24"/>
        <v>320.96000000000004</v>
      </c>
      <c r="M473" s="145"/>
      <c r="N473" s="129">
        <f t="shared" si="25"/>
        <v>129500.08999999992</v>
      </c>
    </row>
    <row r="474" spans="1:14" ht="14.25" x14ac:dyDescent="0.2">
      <c r="A474" s="201">
        <v>43698</v>
      </c>
      <c r="B474" s="184"/>
      <c r="C474" s="122"/>
      <c r="D474" s="122"/>
      <c r="E474" s="256"/>
      <c r="F474" s="122"/>
      <c r="G474" s="126"/>
      <c r="H474" s="123"/>
      <c r="I474" s="123"/>
      <c r="J474" s="203">
        <v>752</v>
      </c>
      <c r="K474" s="182">
        <f t="shared" si="23"/>
        <v>240.64000000000001</v>
      </c>
      <c r="L474" s="182">
        <f t="shared" si="24"/>
        <v>511.36</v>
      </c>
      <c r="M474" s="145"/>
      <c r="N474" s="129">
        <f t="shared" si="25"/>
        <v>130011.44999999992</v>
      </c>
    </row>
    <row r="475" spans="1:14" x14ac:dyDescent="0.2">
      <c r="A475" s="131">
        <v>43699</v>
      </c>
      <c r="B475" s="212"/>
      <c r="C475" s="122"/>
      <c r="D475" s="122"/>
      <c r="E475" s="256"/>
      <c r="F475" s="122"/>
      <c r="G475" s="133"/>
      <c r="H475" s="123"/>
      <c r="I475" s="123"/>
      <c r="J475" s="127">
        <v>452</v>
      </c>
      <c r="K475" s="128">
        <f t="shared" si="23"/>
        <v>144.64000000000001</v>
      </c>
      <c r="L475" s="128">
        <f t="shared" si="24"/>
        <v>307.36</v>
      </c>
      <c r="M475" s="128"/>
      <c r="N475" s="129">
        <f t="shared" si="25"/>
        <v>130318.80999999992</v>
      </c>
    </row>
    <row r="476" spans="1:14" x14ac:dyDescent="0.2">
      <c r="A476" s="131">
        <v>43700</v>
      </c>
      <c r="B476" s="212"/>
      <c r="C476" s="122"/>
      <c r="D476" s="122"/>
      <c r="E476" s="256"/>
      <c r="F476" s="122"/>
      <c r="G476" s="133"/>
      <c r="H476" s="123"/>
      <c r="I476" s="123"/>
      <c r="J476" s="127">
        <v>770</v>
      </c>
      <c r="K476" s="128">
        <f t="shared" si="23"/>
        <v>246.4</v>
      </c>
      <c r="L476" s="128">
        <f t="shared" si="24"/>
        <v>523.6</v>
      </c>
      <c r="M476" s="128"/>
      <c r="N476" s="129">
        <f t="shared" si="25"/>
        <v>130842.40999999993</v>
      </c>
    </row>
    <row r="477" spans="1:14" x14ac:dyDescent="0.2">
      <c r="A477" s="131">
        <v>43701</v>
      </c>
      <c r="B477" s="212"/>
      <c r="C477" s="122"/>
      <c r="D477" s="122"/>
      <c r="E477" s="256"/>
      <c r="F477" s="122"/>
      <c r="G477" s="133"/>
      <c r="H477" s="123"/>
      <c r="I477" s="123"/>
      <c r="J477" s="127">
        <v>964</v>
      </c>
      <c r="K477" s="128">
        <f t="shared" si="23"/>
        <v>308.48</v>
      </c>
      <c r="L477" s="128">
        <f t="shared" si="24"/>
        <v>655.5200000000001</v>
      </c>
      <c r="M477" s="128"/>
      <c r="N477" s="129">
        <f t="shared" si="25"/>
        <v>131497.92999999993</v>
      </c>
    </row>
    <row r="478" spans="1:14" x14ac:dyDescent="0.2">
      <c r="A478" s="131">
        <v>43702</v>
      </c>
      <c r="B478" s="212"/>
      <c r="C478" s="122"/>
      <c r="D478" s="122"/>
      <c r="E478" s="256"/>
      <c r="F478" s="122"/>
      <c r="G478" s="133"/>
      <c r="H478" s="123"/>
      <c r="I478" s="123"/>
      <c r="J478" s="127">
        <v>315</v>
      </c>
      <c r="K478" s="128">
        <f t="shared" si="23"/>
        <v>100.8</v>
      </c>
      <c r="L478" s="128">
        <f t="shared" si="24"/>
        <v>214.20000000000002</v>
      </c>
      <c r="M478" s="128"/>
      <c r="N478" s="129">
        <f t="shared" si="25"/>
        <v>131712.12999999995</v>
      </c>
    </row>
    <row r="479" spans="1:14" x14ac:dyDescent="0.2">
      <c r="A479" s="131">
        <v>43704</v>
      </c>
      <c r="B479" s="212"/>
      <c r="C479" s="122"/>
      <c r="D479" s="122"/>
      <c r="E479" s="256"/>
      <c r="F479" s="122"/>
      <c r="G479" s="133"/>
      <c r="H479" s="123"/>
      <c r="I479" s="123"/>
      <c r="J479" s="127">
        <v>164</v>
      </c>
      <c r="K479" s="128">
        <f t="shared" si="23"/>
        <v>52.480000000000004</v>
      </c>
      <c r="L479" s="128">
        <f t="shared" si="24"/>
        <v>111.52000000000001</v>
      </c>
      <c r="M479" s="128"/>
      <c r="N479" s="129">
        <f t="shared" si="25"/>
        <v>131823.64999999994</v>
      </c>
    </row>
    <row r="480" spans="1:14" x14ac:dyDescent="0.2">
      <c r="A480" s="131">
        <v>43705</v>
      </c>
      <c r="B480" s="212"/>
      <c r="C480" s="122"/>
      <c r="D480" s="122"/>
      <c r="E480" s="256"/>
      <c r="F480" s="122"/>
      <c r="G480" s="133"/>
      <c r="H480" s="123"/>
      <c r="I480" s="123"/>
      <c r="J480" s="127">
        <v>164</v>
      </c>
      <c r="K480" s="128">
        <f t="shared" si="23"/>
        <v>52.480000000000004</v>
      </c>
      <c r="L480" s="128">
        <f t="shared" si="24"/>
        <v>111.52000000000001</v>
      </c>
      <c r="M480" s="128"/>
      <c r="N480" s="129">
        <f t="shared" si="25"/>
        <v>131935.16999999993</v>
      </c>
    </row>
    <row r="481" spans="1:14" x14ac:dyDescent="0.2">
      <c r="A481" s="131">
        <v>43706</v>
      </c>
      <c r="B481" s="212"/>
      <c r="C481" s="122"/>
      <c r="D481" s="122"/>
      <c r="E481" s="256"/>
      <c r="F481" s="122"/>
      <c r="G481" s="133"/>
      <c r="H481" s="123"/>
      <c r="I481" s="123"/>
      <c r="J481" s="127">
        <v>598</v>
      </c>
      <c r="K481" s="128">
        <f t="shared" si="23"/>
        <v>191.36</v>
      </c>
      <c r="L481" s="128">
        <f t="shared" si="24"/>
        <v>406.64000000000004</v>
      </c>
      <c r="M481" s="128"/>
      <c r="N481" s="129">
        <f t="shared" si="25"/>
        <v>132341.80999999994</v>
      </c>
    </row>
    <row r="482" spans="1:14" x14ac:dyDescent="0.2">
      <c r="A482" s="131">
        <v>43708</v>
      </c>
      <c r="B482" s="212"/>
      <c r="C482" s="122"/>
      <c r="D482" s="122"/>
      <c r="E482" s="256"/>
      <c r="F482" s="122"/>
      <c r="G482" s="133"/>
      <c r="H482" s="123"/>
      <c r="I482" s="123"/>
      <c r="J482" s="127">
        <v>552</v>
      </c>
      <c r="K482" s="128">
        <f t="shared" si="23"/>
        <v>176.64000000000001</v>
      </c>
      <c r="L482" s="128">
        <f t="shared" si="24"/>
        <v>375.36</v>
      </c>
      <c r="M482" s="128"/>
      <c r="N482" s="129">
        <f t="shared" si="25"/>
        <v>132717.16999999993</v>
      </c>
    </row>
    <row r="483" spans="1:14" x14ac:dyDescent="0.2">
      <c r="A483" s="131"/>
      <c r="B483" s="212"/>
      <c r="C483" s="122"/>
      <c r="D483" s="122"/>
      <c r="E483" s="256"/>
      <c r="F483" s="122"/>
      <c r="G483" s="133"/>
      <c r="H483" s="123"/>
      <c r="I483" s="123"/>
      <c r="J483" s="127"/>
      <c r="K483" s="128"/>
      <c r="L483" s="128"/>
      <c r="M483" s="128"/>
      <c r="N483" s="129">
        <f t="shared" si="25"/>
        <v>132717.16999999993</v>
      </c>
    </row>
    <row r="484" spans="1:14" x14ac:dyDescent="0.2">
      <c r="A484" s="131"/>
      <c r="B484" s="212"/>
      <c r="C484" s="122"/>
      <c r="D484" s="122"/>
      <c r="E484" s="256"/>
      <c r="F484" s="122"/>
      <c r="G484" s="133"/>
      <c r="H484" s="123"/>
      <c r="I484" s="123"/>
      <c r="J484" s="127"/>
      <c r="K484" s="128"/>
      <c r="L484" s="128"/>
      <c r="M484" s="128"/>
      <c r="N484" s="129">
        <f t="shared" si="25"/>
        <v>132717.16999999993</v>
      </c>
    </row>
    <row r="485" spans="1:14" x14ac:dyDescent="0.2">
      <c r="A485" s="131"/>
      <c r="B485" s="212"/>
      <c r="C485" s="122"/>
      <c r="D485" s="122"/>
      <c r="E485" s="256"/>
      <c r="F485" s="122"/>
      <c r="G485" s="133"/>
      <c r="H485" s="123"/>
      <c r="I485" s="123"/>
      <c r="J485" s="127"/>
      <c r="K485" s="128"/>
      <c r="L485" s="128"/>
      <c r="M485" s="128"/>
      <c r="N485" s="129">
        <f t="shared" si="25"/>
        <v>132717.16999999993</v>
      </c>
    </row>
    <row r="486" spans="1:14" x14ac:dyDescent="0.2">
      <c r="A486" s="131"/>
      <c r="B486" s="212"/>
      <c r="C486" s="122"/>
      <c r="D486" s="122"/>
      <c r="E486" s="256"/>
      <c r="F486" s="122"/>
      <c r="G486" s="133"/>
      <c r="H486" s="123"/>
      <c r="I486" s="123"/>
      <c r="J486" s="127"/>
      <c r="K486" s="128"/>
      <c r="L486" s="128"/>
      <c r="M486" s="128"/>
      <c r="N486" s="129">
        <f t="shared" si="25"/>
        <v>132717.16999999993</v>
      </c>
    </row>
    <row r="487" spans="1:14" x14ac:dyDescent="0.2">
      <c r="A487" s="131"/>
      <c r="B487" s="212"/>
      <c r="C487" s="122"/>
      <c r="D487" s="122"/>
      <c r="E487" s="256"/>
      <c r="F487" s="122"/>
      <c r="G487" s="133"/>
      <c r="H487" s="123"/>
      <c r="I487" s="123"/>
      <c r="J487" s="127"/>
      <c r="K487" s="128"/>
      <c r="L487" s="128"/>
      <c r="M487" s="128"/>
      <c r="N487" s="129">
        <f t="shared" si="25"/>
        <v>132717.16999999993</v>
      </c>
    </row>
    <row r="488" spans="1:14" x14ac:dyDescent="0.2">
      <c r="A488" s="131"/>
      <c r="B488" s="212"/>
      <c r="C488" s="122"/>
      <c r="D488" s="122"/>
      <c r="E488" s="256"/>
      <c r="F488" s="122"/>
      <c r="G488" s="133"/>
      <c r="H488" s="123"/>
      <c r="I488" s="123"/>
      <c r="J488" s="127"/>
      <c r="K488" s="128"/>
      <c r="L488" s="128"/>
      <c r="M488" s="128"/>
      <c r="N488" s="129">
        <f t="shared" si="25"/>
        <v>132717.16999999993</v>
      </c>
    </row>
    <row r="489" spans="1:14" ht="15" x14ac:dyDescent="0.25">
      <c r="A489" s="533" t="s">
        <v>370</v>
      </c>
      <c r="B489" s="534"/>
      <c r="C489" s="534"/>
      <c r="D489" s="534"/>
      <c r="E489" s="534"/>
      <c r="F489" s="534"/>
      <c r="G489" s="534"/>
      <c r="H489" s="534"/>
      <c r="I489" s="534"/>
      <c r="J489" s="534"/>
      <c r="K489" s="534"/>
      <c r="L489" s="534"/>
      <c r="M489" s="534"/>
      <c r="N489" s="129">
        <f t="shared" si="25"/>
        <v>132717.16999999993</v>
      </c>
    </row>
    <row r="490" spans="1:14" ht="15" x14ac:dyDescent="0.25">
      <c r="A490" s="213"/>
      <c r="B490" s="216"/>
      <c r="C490" s="216"/>
      <c r="D490" s="216"/>
      <c r="E490" s="216"/>
      <c r="F490" s="216"/>
      <c r="G490" s="216"/>
      <c r="J490" s="216"/>
      <c r="K490" s="216"/>
      <c r="L490" s="216"/>
      <c r="M490" s="129"/>
      <c r="N490" s="129">
        <f t="shared" si="25"/>
        <v>132717.16999999993</v>
      </c>
    </row>
    <row r="491" spans="1:14" x14ac:dyDescent="0.2">
      <c r="A491" s="219">
        <v>43339</v>
      </c>
      <c r="B491" s="220" t="s">
        <v>371</v>
      </c>
      <c r="C491" s="221"/>
      <c r="D491" s="222" t="s">
        <v>372</v>
      </c>
      <c r="E491" s="223"/>
      <c r="F491" s="223" t="s">
        <v>373</v>
      </c>
      <c r="G491" s="133" t="s">
        <v>374</v>
      </c>
      <c r="H491" s="225"/>
      <c r="I491" s="234"/>
      <c r="J491" s="226"/>
      <c r="K491" s="227"/>
      <c r="L491" s="228"/>
      <c r="M491" s="229">
        <v>1700</v>
      </c>
      <c r="N491" s="129">
        <f t="shared" si="25"/>
        <v>131017.16999999993</v>
      </c>
    </row>
    <row r="492" spans="1:14" x14ac:dyDescent="0.2">
      <c r="A492" s="131"/>
      <c r="B492" s="259" t="s">
        <v>375</v>
      </c>
      <c r="C492" s="260"/>
      <c r="D492" s="186" t="s">
        <v>376</v>
      </c>
      <c r="E492" s="122"/>
      <c r="F492" s="251"/>
      <c r="G492" s="133" t="s">
        <v>377</v>
      </c>
      <c r="H492" s="123"/>
      <c r="I492" s="123"/>
      <c r="J492" s="127"/>
      <c r="K492" s="128"/>
      <c r="L492" s="128"/>
      <c r="M492" s="149">
        <v>950</v>
      </c>
      <c r="N492" s="129">
        <f t="shared" si="25"/>
        <v>130067.16999999993</v>
      </c>
    </row>
    <row r="493" spans="1:14" x14ac:dyDescent="0.2">
      <c r="A493" s="131"/>
      <c r="B493" s="151" t="s">
        <v>378</v>
      </c>
      <c r="C493" s="152"/>
      <c r="D493" s="186" t="s">
        <v>379</v>
      </c>
      <c r="E493" s="122"/>
      <c r="F493" s="122"/>
      <c r="G493" s="133" t="s">
        <v>380</v>
      </c>
      <c r="H493" s="123"/>
      <c r="I493" s="123"/>
      <c r="J493" s="127"/>
      <c r="K493" s="128"/>
      <c r="L493" s="128"/>
      <c r="M493" s="149">
        <v>850</v>
      </c>
      <c r="N493" s="129">
        <f t="shared" si="25"/>
        <v>129217.16999999993</v>
      </c>
    </row>
    <row r="494" spans="1:14" ht="60" x14ac:dyDescent="0.25">
      <c r="A494" s="131">
        <v>43340</v>
      </c>
      <c r="B494" s="523" t="s">
        <v>339</v>
      </c>
      <c r="C494" s="524"/>
      <c r="D494" s="122"/>
      <c r="E494" s="122"/>
      <c r="F494" s="251" t="s">
        <v>337</v>
      </c>
      <c r="G494" s="252" t="s">
        <v>381</v>
      </c>
      <c r="H494" s="123"/>
      <c r="I494" s="123"/>
      <c r="J494" s="127"/>
      <c r="K494" s="128"/>
      <c r="L494" s="128"/>
      <c r="M494" s="149">
        <v>300</v>
      </c>
      <c r="N494" s="129">
        <f t="shared" si="25"/>
        <v>128917.16999999993</v>
      </c>
    </row>
    <row r="495" spans="1:14" x14ac:dyDescent="0.2">
      <c r="A495" s="131"/>
      <c r="B495" s="132"/>
      <c r="C495" s="122"/>
      <c r="D495" s="122"/>
      <c r="E495" s="122"/>
      <c r="F495" s="122"/>
      <c r="G495" s="133"/>
      <c r="H495" s="123"/>
      <c r="I495" s="123"/>
      <c r="J495" s="127"/>
      <c r="K495" s="128"/>
      <c r="L495" s="128"/>
      <c r="M495" s="149"/>
      <c r="N495" s="129">
        <f t="shared" si="25"/>
        <v>128917.16999999993</v>
      </c>
    </row>
    <row r="496" spans="1:14" x14ac:dyDescent="0.2">
      <c r="A496" s="219"/>
      <c r="B496" s="261"/>
      <c r="C496" s="223"/>
      <c r="D496" s="223"/>
      <c r="E496" s="223"/>
      <c r="F496" s="223"/>
      <c r="G496" s="133"/>
      <c r="H496" s="225"/>
      <c r="I496" s="234"/>
      <c r="J496" s="226"/>
      <c r="K496" s="227"/>
      <c r="L496" s="228"/>
      <c r="M496" s="229"/>
      <c r="N496" s="129">
        <f t="shared" si="25"/>
        <v>128917.16999999993</v>
      </c>
    </row>
    <row r="497" spans="1:14" x14ac:dyDescent="0.2">
      <c r="A497" s="131"/>
      <c r="B497" s="523"/>
      <c r="C497" s="524"/>
      <c r="D497" s="122"/>
      <c r="E497" s="122"/>
      <c r="F497" s="251"/>
      <c r="G497" s="133"/>
      <c r="H497" s="123"/>
      <c r="I497" s="123"/>
      <c r="J497" s="127"/>
      <c r="K497" s="128"/>
      <c r="L497" s="128"/>
      <c r="M497" s="149"/>
      <c r="N497" s="129">
        <f t="shared" si="25"/>
        <v>128917.16999999993</v>
      </c>
    </row>
    <row r="498" spans="1:14" x14ac:dyDescent="0.2">
      <c r="A498" s="131"/>
      <c r="B498" s="132"/>
      <c r="C498" s="122"/>
      <c r="D498" s="122"/>
      <c r="E498" s="122"/>
      <c r="F498" s="122"/>
      <c r="G498" s="133"/>
      <c r="H498" s="123"/>
      <c r="I498" s="123"/>
      <c r="J498" s="127"/>
      <c r="K498" s="128"/>
      <c r="L498" s="128"/>
      <c r="M498" s="149"/>
      <c r="N498" s="129">
        <f t="shared" si="25"/>
        <v>128917.16999999993</v>
      </c>
    </row>
    <row r="499" spans="1:14" ht="15" x14ac:dyDescent="0.25">
      <c r="A499" s="131"/>
      <c r="B499" s="523"/>
      <c r="C499" s="524"/>
      <c r="D499" s="122"/>
      <c r="E499" s="122"/>
      <c r="F499" s="251"/>
      <c r="G499" s="252"/>
      <c r="H499" s="123"/>
      <c r="I499" s="123"/>
      <c r="J499" s="127"/>
      <c r="K499" s="128"/>
      <c r="L499" s="128"/>
      <c r="M499" s="149"/>
      <c r="N499" s="129">
        <f t="shared" si="25"/>
        <v>128917.16999999993</v>
      </c>
    </row>
    <row r="500" spans="1:14" x14ac:dyDescent="0.2">
      <c r="A500" s="230"/>
      <c r="B500" s="231"/>
      <c r="C500" s="232"/>
      <c r="D500" s="232"/>
      <c r="E500" s="232"/>
      <c r="F500" s="232"/>
      <c r="G500" s="133"/>
      <c r="H500" s="123"/>
      <c r="I500" s="123"/>
      <c r="J500" s="127"/>
      <c r="K500" s="128"/>
      <c r="L500" s="128"/>
      <c r="M500" s="149"/>
      <c r="N500" s="129"/>
    </row>
    <row r="501" spans="1:14" ht="13.5" thickBot="1" x14ac:dyDescent="0.25">
      <c r="A501" s="238"/>
      <c r="B501" s="239"/>
      <c r="C501" s="240"/>
      <c r="D501" s="240"/>
      <c r="E501" s="241"/>
      <c r="F501" s="242"/>
      <c r="G501" s="243"/>
      <c r="H501" s="244" t="s">
        <v>250</v>
      </c>
      <c r="I501" s="244"/>
      <c r="J501" s="161">
        <f>SUM(J440:J495)</f>
        <v>22515</v>
      </c>
      <c r="K501" s="245">
        <f>SUM(K440:K495)</f>
        <v>7204.8</v>
      </c>
      <c r="L501" s="246">
        <f>SUM(L440:L488)</f>
        <v>15310.200000000003</v>
      </c>
      <c r="M501" s="247">
        <f>SUM(M490:M499)</f>
        <v>3800</v>
      </c>
      <c r="N501" s="248"/>
    </row>
    <row r="502" spans="1:14" ht="13.5" thickBot="1" x14ac:dyDescent="0.25">
      <c r="A502" s="166"/>
      <c r="C502" s="168"/>
      <c r="D502" s="168"/>
      <c r="E502" s="169"/>
      <c r="F502" s="170"/>
      <c r="G502" s="171"/>
      <c r="H502" s="160" t="s">
        <v>13</v>
      </c>
      <c r="I502" s="314"/>
      <c r="J502" s="172"/>
      <c r="K502" s="173"/>
      <c r="L502" s="174"/>
      <c r="M502" s="174"/>
      <c r="N502" s="175">
        <f>+L501-M501+N439</f>
        <v>128917.16999999985</v>
      </c>
    </row>
    <row r="503" spans="1:14" x14ac:dyDescent="0.2">
      <c r="A503" s="166"/>
      <c r="C503" s="168"/>
      <c r="D503" s="168"/>
      <c r="E503" s="169"/>
      <c r="F503" s="170"/>
      <c r="G503" s="171"/>
      <c r="H503" s="171"/>
      <c r="I503" s="171"/>
      <c r="J503" s="189"/>
      <c r="K503" s="188"/>
      <c r="L503" s="180"/>
      <c r="M503" s="180"/>
      <c r="N503" s="189"/>
    </row>
    <row r="504" spans="1:14" x14ac:dyDescent="0.2">
      <c r="A504" s="166"/>
      <c r="C504" s="168"/>
      <c r="D504" s="168"/>
      <c r="E504" s="169"/>
      <c r="F504" s="170"/>
      <c r="G504" s="171"/>
      <c r="H504" s="171"/>
      <c r="I504" s="171"/>
      <c r="J504" s="189"/>
      <c r="K504" s="188"/>
      <c r="L504" s="180"/>
      <c r="M504" s="180"/>
      <c r="N504" s="189"/>
    </row>
    <row r="505" spans="1:14" x14ac:dyDescent="0.2">
      <c r="A505" s="527" t="s">
        <v>95</v>
      </c>
      <c r="B505" s="528"/>
      <c r="C505" s="528"/>
      <c r="D505" s="528"/>
      <c r="E505" s="528"/>
      <c r="F505" s="528"/>
      <c r="G505" s="528"/>
      <c r="H505" s="528"/>
      <c r="I505" s="528"/>
      <c r="J505" s="528"/>
      <c r="K505" s="528"/>
      <c r="L505" s="528"/>
      <c r="M505" s="528"/>
      <c r="N505" s="529"/>
    </row>
    <row r="506" spans="1:14" x14ac:dyDescent="0.2">
      <c r="A506" s="530"/>
      <c r="B506" s="531"/>
      <c r="C506" s="531"/>
      <c r="D506" s="531"/>
      <c r="E506" s="531"/>
      <c r="F506" s="531"/>
      <c r="G506" s="531"/>
      <c r="H506" s="531"/>
      <c r="I506" s="531"/>
      <c r="J506" s="531"/>
      <c r="K506" s="531"/>
      <c r="L506" s="531"/>
      <c r="M506" s="531"/>
      <c r="N506" s="532"/>
    </row>
    <row r="507" spans="1:14" ht="15" x14ac:dyDescent="0.25">
      <c r="A507" s="533" t="s">
        <v>382</v>
      </c>
      <c r="B507" s="534"/>
      <c r="C507" s="534"/>
      <c r="D507" s="534"/>
      <c r="E507" s="534"/>
      <c r="F507" s="534"/>
      <c r="G507" s="534"/>
      <c r="H507" s="534"/>
      <c r="I507" s="534"/>
      <c r="J507" s="534"/>
      <c r="K507" s="534"/>
      <c r="L507" s="534"/>
      <c r="M507" s="534"/>
      <c r="N507" s="534"/>
    </row>
    <row r="508" spans="1:14" x14ac:dyDescent="0.2">
      <c r="A508" s="115" t="s">
        <v>1</v>
      </c>
      <c r="B508" s="116" t="s">
        <v>2</v>
      </c>
      <c r="C508" s="117" t="s">
        <v>3</v>
      </c>
      <c r="D508" s="117" t="s">
        <v>4</v>
      </c>
      <c r="E508" s="117" t="s">
        <v>96</v>
      </c>
      <c r="F508" s="117" t="s">
        <v>5</v>
      </c>
      <c r="G508" s="118" t="s">
        <v>97</v>
      </c>
      <c r="H508" s="118" t="s">
        <v>6</v>
      </c>
      <c r="I508" s="118"/>
      <c r="J508" s="117" t="s">
        <v>7</v>
      </c>
      <c r="K508" s="117" t="s">
        <v>8</v>
      </c>
      <c r="L508" s="117" t="s">
        <v>9</v>
      </c>
      <c r="M508" s="119" t="s">
        <v>10</v>
      </c>
      <c r="N508" s="117" t="s">
        <v>11</v>
      </c>
    </row>
    <row r="509" spans="1:14" x14ac:dyDescent="0.2">
      <c r="A509" s="120"/>
      <c r="B509" s="121"/>
      <c r="C509" s="122"/>
      <c r="D509" s="122"/>
      <c r="E509" s="122"/>
      <c r="F509" s="122"/>
      <c r="G509" s="101"/>
      <c r="H509" s="123"/>
      <c r="I509" s="123"/>
      <c r="J509" s="124"/>
      <c r="K509" s="125"/>
      <c r="L509" s="125"/>
      <c r="M509" s="125"/>
      <c r="N509" s="124">
        <f>N502</f>
        <v>128917.16999999985</v>
      </c>
    </row>
    <row r="510" spans="1:14" ht="14.25" x14ac:dyDescent="0.2">
      <c r="A510" s="201">
        <v>43346</v>
      </c>
      <c r="B510" s="184" t="s">
        <v>383</v>
      </c>
      <c r="C510" s="126"/>
      <c r="D510" s="122"/>
      <c r="E510" s="122"/>
      <c r="F510" s="122"/>
      <c r="G510" s="126" t="s">
        <v>384</v>
      </c>
      <c r="H510" s="122"/>
      <c r="I510" s="122"/>
      <c r="J510" s="190">
        <v>190</v>
      </c>
      <c r="K510" s="182">
        <f>+J510*0.32</f>
        <v>60.800000000000004</v>
      </c>
      <c r="L510" s="182">
        <f>+J510*0.68</f>
        <v>129.20000000000002</v>
      </c>
      <c r="M510" s="128"/>
      <c r="N510" s="129">
        <f>+L510-M510+N509</f>
        <v>129046.36999999985</v>
      </c>
    </row>
    <row r="511" spans="1:14" ht="14.25" x14ac:dyDescent="0.2">
      <c r="A511" s="201">
        <v>43347</v>
      </c>
      <c r="B511" s="184" t="s">
        <v>383</v>
      </c>
      <c r="C511" s="126"/>
      <c r="D511" s="122"/>
      <c r="E511" s="122"/>
      <c r="F511" s="122"/>
      <c r="G511" s="126" t="s">
        <v>384</v>
      </c>
      <c r="H511" s="122"/>
      <c r="I511" s="122"/>
      <c r="J511" s="190">
        <v>308</v>
      </c>
      <c r="K511" s="182">
        <f>+J511*0.32</f>
        <v>98.56</v>
      </c>
      <c r="L511" s="182">
        <f>+J511*0.68</f>
        <v>209.44000000000003</v>
      </c>
      <c r="M511" s="128"/>
      <c r="N511" s="129">
        <f>+L511-M511+N510</f>
        <v>129255.80999999985</v>
      </c>
    </row>
    <row r="512" spans="1:14" ht="14.25" x14ac:dyDescent="0.2">
      <c r="A512" s="201">
        <v>43348</v>
      </c>
      <c r="B512" s="184" t="s">
        <v>383</v>
      </c>
      <c r="C512" s="126"/>
      <c r="D512" s="122"/>
      <c r="E512" s="183"/>
      <c r="F512" s="183"/>
      <c r="G512" s="126" t="s">
        <v>384</v>
      </c>
      <c r="H512" s="122"/>
      <c r="I512" s="122"/>
      <c r="J512" s="190">
        <v>1084</v>
      </c>
      <c r="K512" s="182">
        <f t="shared" ref="K512:K548" si="26">+J512*0.32</f>
        <v>346.88</v>
      </c>
      <c r="L512" s="182">
        <f t="shared" ref="L512:L548" si="27">+J512*0.68</f>
        <v>737.12</v>
      </c>
      <c r="M512" s="128"/>
      <c r="N512" s="129">
        <f t="shared" ref="N512:N562" si="28">+L512-M512+N511</f>
        <v>129992.92999999985</v>
      </c>
    </row>
    <row r="513" spans="1:14" ht="14.25" x14ac:dyDescent="0.2">
      <c r="A513" s="201">
        <v>43349</v>
      </c>
      <c r="B513" s="184" t="s">
        <v>383</v>
      </c>
      <c r="C513" s="126"/>
      <c r="D513" s="122"/>
      <c r="E513" s="122"/>
      <c r="F513" s="122"/>
      <c r="G513" s="126" t="s">
        <v>384</v>
      </c>
      <c r="H513" s="122"/>
      <c r="I513" s="122"/>
      <c r="J513" s="190">
        <v>1370</v>
      </c>
      <c r="K513" s="182">
        <f t="shared" si="26"/>
        <v>438.40000000000003</v>
      </c>
      <c r="L513" s="182">
        <f t="shared" si="27"/>
        <v>931.6</v>
      </c>
      <c r="M513" s="128"/>
      <c r="N513" s="129">
        <f t="shared" si="28"/>
        <v>130924.52999999985</v>
      </c>
    </row>
    <row r="514" spans="1:14" ht="14.25" x14ac:dyDescent="0.2">
      <c r="A514" s="201">
        <v>43350</v>
      </c>
      <c r="B514" s="184" t="s">
        <v>383</v>
      </c>
      <c r="C514" s="126"/>
      <c r="D514" s="122"/>
      <c r="E514" s="122"/>
      <c r="F514" s="122"/>
      <c r="G514" s="126" t="s">
        <v>384</v>
      </c>
      <c r="H514" s="122"/>
      <c r="I514" s="122"/>
      <c r="J514" s="190">
        <v>60</v>
      </c>
      <c r="K514" s="182">
        <f t="shared" si="26"/>
        <v>19.2</v>
      </c>
      <c r="L514" s="182">
        <f t="shared" si="27"/>
        <v>40.800000000000004</v>
      </c>
      <c r="M514" s="128"/>
      <c r="N514" s="129">
        <f t="shared" si="28"/>
        <v>130965.32999999986</v>
      </c>
    </row>
    <row r="515" spans="1:14" ht="14.25" x14ac:dyDescent="0.2">
      <c r="A515" s="201">
        <v>43351</v>
      </c>
      <c r="B515" s="184" t="s">
        <v>383</v>
      </c>
      <c r="C515" s="126"/>
      <c r="D515" s="122"/>
      <c r="E515" s="122"/>
      <c r="F515" s="122"/>
      <c r="G515" s="126" t="s">
        <v>384</v>
      </c>
      <c r="H515" s="122"/>
      <c r="I515" s="122"/>
      <c r="J515" s="203">
        <v>288</v>
      </c>
      <c r="K515" s="182">
        <f t="shared" si="26"/>
        <v>92.16</v>
      </c>
      <c r="L515" s="182">
        <f t="shared" si="27"/>
        <v>195.84</v>
      </c>
      <c r="M515" s="128"/>
      <c r="N515" s="129">
        <f t="shared" si="28"/>
        <v>131161.16999999987</v>
      </c>
    </row>
    <row r="516" spans="1:14" ht="14.25" x14ac:dyDescent="0.2">
      <c r="A516" s="201">
        <v>43353</v>
      </c>
      <c r="B516" s="184" t="s">
        <v>383</v>
      </c>
      <c r="C516" s="126"/>
      <c r="D516" s="122"/>
      <c r="E516" s="122"/>
      <c r="F516" s="122"/>
      <c r="G516" s="126" t="s">
        <v>384</v>
      </c>
      <c r="H516" s="122"/>
      <c r="I516" s="122"/>
      <c r="J516" s="203">
        <v>0</v>
      </c>
      <c r="K516" s="182">
        <f t="shared" si="26"/>
        <v>0</v>
      </c>
      <c r="L516" s="182">
        <f t="shared" si="27"/>
        <v>0</v>
      </c>
      <c r="M516" s="128"/>
      <c r="N516" s="129">
        <f t="shared" si="28"/>
        <v>131161.16999999987</v>
      </c>
    </row>
    <row r="517" spans="1:14" ht="14.25" x14ac:dyDescent="0.2">
      <c r="A517" s="201">
        <v>43354</v>
      </c>
      <c r="B517" s="184" t="s">
        <v>383</v>
      </c>
      <c r="C517" s="126"/>
      <c r="D517" s="122"/>
      <c r="E517" s="122"/>
      <c r="F517" s="122"/>
      <c r="G517" s="126" t="s">
        <v>384</v>
      </c>
      <c r="H517" s="122"/>
      <c r="I517" s="122"/>
      <c r="J517" s="203">
        <v>370</v>
      </c>
      <c r="K517" s="182">
        <f t="shared" si="26"/>
        <v>118.4</v>
      </c>
      <c r="L517" s="182">
        <f t="shared" si="27"/>
        <v>251.60000000000002</v>
      </c>
      <c r="M517" s="128"/>
      <c r="N517" s="129">
        <f t="shared" si="28"/>
        <v>131412.76999999987</v>
      </c>
    </row>
    <row r="518" spans="1:14" ht="14.25" x14ac:dyDescent="0.2">
      <c r="A518" s="201">
        <v>43355</v>
      </c>
      <c r="B518" s="184" t="s">
        <v>383</v>
      </c>
      <c r="C518" s="126"/>
      <c r="D518" s="122"/>
      <c r="E518" s="122"/>
      <c r="F518" s="122"/>
      <c r="G518" s="126" t="s">
        <v>384</v>
      </c>
      <c r="H518" s="122"/>
      <c r="I518" s="122"/>
      <c r="J518" s="203">
        <v>452</v>
      </c>
      <c r="K518" s="182">
        <f t="shared" si="26"/>
        <v>144.64000000000001</v>
      </c>
      <c r="L518" s="182">
        <f t="shared" si="27"/>
        <v>307.36</v>
      </c>
      <c r="M518" s="128"/>
      <c r="N518" s="129">
        <f t="shared" si="28"/>
        <v>131720.12999999986</v>
      </c>
    </row>
    <row r="519" spans="1:14" ht="14.25" x14ac:dyDescent="0.2">
      <c r="A519" s="201">
        <v>43356</v>
      </c>
      <c r="B519" s="184" t="s">
        <v>383</v>
      </c>
      <c r="C519" s="126"/>
      <c r="D519" s="122"/>
      <c r="E519" s="122"/>
      <c r="F519" s="122"/>
      <c r="G519" s="126" t="s">
        <v>384</v>
      </c>
      <c r="H519" s="122"/>
      <c r="I519" s="122"/>
      <c r="J519" s="203">
        <v>328</v>
      </c>
      <c r="K519" s="182">
        <f t="shared" si="26"/>
        <v>104.96000000000001</v>
      </c>
      <c r="L519" s="182">
        <f t="shared" si="27"/>
        <v>223.04000000000002</v>
      </c>
      <c r="M519" s="128"/>
      <c r="N519" s="129">
        <f t="shared" si="28"/>
        <v>131943.16999999987</v>
      </c>
    </row>
    <row r="520" spans="1:14" ht="14.25" x14ac:dyDescent="0.2">
      <c r="A520" s="201">
        <v>43357</v>
      </c>
      <c r="B520" s="184" t="s">
        <v>383</v>
      </c>
      <c r="C520" s="126"/>
      <c r="D520" s="135"/>
      <c r="E520" s="122"/>
      <c r="F520" s="122"/>
      <c r="G520" s="126" t="s">
        <v>384</v>
      </c>
      <c r="H520" s="135"/>
      <c r="I520" s="135"/>
      <c r="J520" s="203">
        <v>308</v>
      </c>
      <c r="K520" s="182">
        <f t="shared" si="26"/>
        <v>98.56</v>
      </c>
      <c r="L520" s="182">
        <f t="shared" si="27"/>
        <v>209.44000000000003</v>
      </c>
      <c r="M520" s="128"/>
      <c r="N520" s="129">
        <f t="shared" si="28"/>
        <v>132152.60999999987</v>
      </c>
    </row>
    <row r="521" spans="1:14" ht="14.25" x14ac:dyDescent="0.2">
      <c r="A521" s="201">
        <v>43361</v>
      </c>
      <c r="B521" s="184" t="s">
        <v>385</v>
      </c>
      <c r="C521" s="126"/>
      <c r="D521" s="135"/>
      <c r="E521" s="122"/>
      <c r="F521" s="122"/>
      <c r="G521" s="126" t="s">
        <v>386</v>
      </c>
      <c r="H521" s="135"/>
      <c r="I521" s="135"/>
      <c r="J521" s="203">
        <v>308</v>
      </c>
      <c r="K521" s="182">
        <f t="shared" si="26"/>
        <v>98.56</v>
      </c>
      <c r="L521" s="182">
        <f t="shared" si="27"/>
        <v>209.44000000000003</v>
      </c>
      <c r="M521" s="128"/>
      <c r="N521" s="129">
        <f t="shared" si="28"/>
        <v>132362.04999999987</v>
      </c>
    </row>
    <row r="522" spans="1:14" ht="14.25" x14ac:dyDescent="0.2">
      <c r="A522" s="201">
        <v>43362</v>
      </c>
      <c r="B522" s="184" t="s">
        <v>385</v>
      </c>
      <c r="C522" s="126"/>
      <c r="D522" s="135"/>
      <c r="E522" s="122"/>
      <c r="F522" s="122"/>
      <c r="G522" s="126" t="s">
        <v>386</v>
      </c>
      <c r="H522" s="135"/>
      <c r="I522" s="135"/>
      <c r="J522" s="203">
        <v>0</v>
      </c>
      <c r="K522" s="182">
        <f t="shared" si="26"/>
        <v>0</v>
      </c>
      <c r="L522" s="182">
        <f t="shared" si="27"/>
        <v>0</v>
      </c>
      <c r="M522" s="128"/>
      <c r="N522" s="129">
        <f t="shared" si="28"/>
        <v>132362.04999999987</v>
      </c>
    </row>
    <row r="523" spans="1:14" ht="14.25" x14ac:dyDescent="0.2">
      <c r="A523" s="201">
        <v>43363</v>
      </c>
      <c r="B523" s="184" t="s">
        <v>385</v>
      </c>
      <c r="C523" s="126"/>
      <c r="D523" s="135"/>
      <c r="E523" s="122"/>
      <c r="F523" s="122"/>
      <c r="G523" s="126" t="s">
        <v>386</v>
      </c>
      <c r="H523" s="135"/>
      <c r="I523" s="135"/>
      <c r="J523" s="203">
        <v>308</v>
      </c>
      <c r="K523" s="182">
        <f t="shared" si="26"/>
        <v>98.56</v>
      </c>
      <c r="L523" s="182">
        <f t="shared" si="27"/>
        <v>209.44000000000003</v>
      </c>
      <c r="M523" s="128"/>
      <c r="N523" s="129">
        <f t="shared" si="28"/>
        <v>132571.48999999987</v>
      </c>
    </row>
    <row r="524" spans="1:14" ht="14.25" x14ac:dyDescent="0.2">
      <c r="A524" s="201">
        <v>43367</v>
      </c>
      <c r="B524" s="184" t="s">
        <v>385</v>
      </c>
      <c r="C524" s="126"/>
      <c r="D524" s="135"/>
      <c r="E524" s="122"/>
      <c r="F524" s="122"/>
      <c r="G524" s="126" t="s">
        <v>386</v>
      </c>
      <c r="H524" s="135"/>
      <c r="I524" s="135"/>
      <c r="J524" s="203">
        <v>144</v>
      </c>
      <c r="K524" s="182">
        <f t="shared" si="26"/>
        <v>46.08</v>
      </c>
      <c r="L524" s="182">
        <f t="shared" si="27"/>
        <v>97.92</v>
      </c>
      <c r="M524" s="128"/>
      <c r="N524" s="129">
        <f t="shared" si="28"/>
        <v>132669.40999999989</v>
      </c>
    </row>
    <row r="525" spans="1:14" ht="14.25" x14ac:dyDescent="0.2">
      <c r="A525" s="201">
        <v>43368</v>
      </c>
      <c r="B525" s="184" t="s">
        <v>385</v>
      </c>
      <c r="C525" s="126"/>
      <c r="D525" s="135"/>
      <c r="E525" s="122"/>
      <c r="F525" s="122"/>
      <c r="G525" s="126" t="s">
        <v>386</v>
      </c>
      <c r="H525" s="135"/>
      <c r="I525" s="135"/>
      <c r="J525" s="203">
        <v>164</v>
      </c>
      <c r="K525" s="182">
        <f t="shared" si="26"/>
        <v>52.480000000000004</v>
      </c>
      <c r="L525" s="182">
        <f t="shared" si="27"/>
        <v>111.52000000000001</v>
      </c>
      <c r="M525" s="128"/>
      <c r="N525" s="129">
        <f t="shared" si="28"/>
        <v>132780.92999999988</v>
      </c>
    </row>
    <row r="526" spans="1:14" ht="14.25" x14ac:dyDescent="0.2">
      <c r="A526" s="201">
        <v>43370</v>
      </c>
      <c r="B526" s="184" t="s">
        <v>385</v>
      </c>
      <c r="C526" s="126"/>
      <c r="D526" s="135"/>
      <c r="E526" s="122"/>
      <c r="F526" s="122"/>
      <c r="G526" s="126" t="s">
        <v>386</v>
      </c>
      <c r="H526" s="135"/>
      <c r="I526" s="135"/>
      <c r="J526" s="203">
        <v>308</v>
      </c>
      <c r="K526" s="182">
        <f t="shared" si="26"/>
        <v>98.56</v>
      </c>
      <c r="L526" s="182">
        <f t="shared" si="27"/>
        <v>209.44000000000003</v>
      </c>
      <c r="M526" s="128"/>
      <c r="N526" s="129">
        <f t="shared" si="28"/>
        <v>132990.36999999988</v>
      </c>
    </row>
    <row r="527" spans="1:14" ht="14.25" x14ac:dyDescent="0.2">
      <c r="A527" s="201">
        <v>43372</v>
      </c>
      <c r="B527" s="184" t="s">
        <v>385</v>
      </c>
      <c r="C527" s="126"/>
      <c r="D527" s="135"/>
      <c r="E527" s="122"/>
      <c r="F527" s="122"/>
      <c r="G527" s="126" t="s">
        <v>386</v>
      </c>
      <c r="H527" s="135"/>
      <c r="I527" s="135"/>
      <c r="J527" s="203">
        <v>220</v>
      </c>
      <c r="K527" s="182">
        <f t="shared" si="26"/>
        <v>70.400000000000006</v>
      </c>
      <c r="L527" s="182">
        <f t="shared" si="27"/>
        <v>149.60000000000002</v>
      </c>
      <c r="M527" s="128"/>
      <c r="N527" s="129">
        <f t="shared" si="28"/>
        <v>133139.96999999988</v>
      </c>
    </row>
    <row r="528" spans="1:14" ht="14.25" x14ac:dyDescent="0.2">
      <c r="A528" s="201">
        <v>43711</v>
      </c>
      <c r="B528" s="184"/>
      <c r="C528" s="126"/>
      <c r="D528" s="135"/>
      <c r="E528" s="211"/>
      <c r="F528" s="122"/>
      <c r="G528" s="126"/>
      <c r="H528" s="135"/>
      <c r="I528" s="135"/>
      <c r="J528" s="203">
        <v>1170</v>
      </c>
      <c r="K528" s="182">
        <f t="shared" si="26"/>
        <v>374.40000000000003</v>
      </c>
      <c r="L528" s="182">
        <f t="shared" si="27"/>
        <v>795.6</v>
      </c>
      <c r="M528" s="128"/>
      <c r="N528" s="129">
        <f t="shared" si="28"/>
        <v>133935.56999999989</v>
      </c>
    </row>
    <row r="529" spans="1:14" ht="14.25" x14ac:dyDescent="0.2">
      <c r="A529" s="201">
        <v>43712</v>
      </c>
      <c r="B529" s="184"/>
      <c r="C529" s="126"/>
      <c r="D529" s="135"/>
      <c r="E529" s="211"/>
      <c r="F529" s="122"/>
      <c r="G529" s="126"/>
      <c r="H529" s="135"/>
      <c r="I529" s="135"/>
      <c r="J529" s="203">
        <v>164</v>
      </c>
      <c r="K529" s="182">
        <f t="shared" si="26"/>
        <v>52.480000000000004</v>
      </c>
      <c r="L529" s="182">
        <f t="shared" si="27"/>
        <v>111.52000000000001</v>
      </c>
      <c r="M529" s="128"/>
      <c r="N529" s="129">
        <f t="shared" si="28"/>
        <v>134047.08999999988</v>
      </c>
    </row>
    <row r="530" spans="1:14" ht="14.25" x14ac:dyDescent="0.2">
      <c r="A530" s="201">
        <v>43713</v>
      </c>
      <c r="B530" s="184"/>
      <c r="C530" s="126"/>
      <c r="D530" s="135"/>
      <c r="E530" s="211"/>
      <c r="F530" s="122"/>
      <c r="G530" s="126"/>
      <c r="H530" s="135"/>
      <c r="I530" s="135"/>
      <c r="J530" s="203">
        <v>942</v>
      </c>
      <c r="K530" s="182">
        <f t="shared" si="26"/>
        <v>301.44</v>
      </c>
      <c r="L530" s="182">
        <f t="shared" si="27"/>
        <v>640.56000000000006</v>
      </c>
      <c r="M530" s="128"/>
      <c r="N530" s="129">
        <f t="shared" si="28"/>
        <v>134687.64999999988</v>
      </c>
    </row>
    <row r="531" spans="1:14" ht="14.25" x14ac:dyDescent="0.2">
      <c r="A531" s="201">
        <v>43714</v>
      </c>
      <c r="B531" s="184"/>
      <c r="C531" s="126"/>
      <c r="D531" s="135"/>
      <c r="E531" s="211"/>
      <c r="F531" s="122"/>
      <c r="G531" s="126"/>
      <c r="H531" s="135"/>
      <c r="I531" s="135"/>
      <c r="J531" s="203">
        <v>1280</v>
      </c>
      <c r="K531" s="182">
        <f t="shared" si="26"/>
        <v>409.6</v>
      </c>
      <c r="L531" s="182">
        <f t="shared" si="27"/>
        <v>870.40000000000009</v>
      </c>
      <c r="M531" s="128"/>
      <c r="N531" s="129">
        <f t="shared" si="28"/>
        <v>135558.04999999987</v>
      </c>
    </row>
    <row r="532" spans="1:14" ht="14.25" x14ac:dyDescent="0.2">
      <c r="A532" s="201">
        <v>43715</v>
      </c>
      <c r="B532" s="184"/>
      <c r="C532" s="126"/>
      <c r="D532" s="135"/>
      <c r="E532" s="211"/>
      <c r="F532" s="122"/>
      <c r="G532" s="126"/>
      <c r="H532" s="135"/>
      <c r="I532" s="135"/>
      <c r="J532" s="203">
        <v>1724</v>
      </c>
      <c r="K532" s="182">
        <f t="shared" si="26"/>
        <v>551.68000000000006</v>
      </c>
      <c r="L532" s="182">
        <f t="shared" si="27"/>
        <v>1172.3200000000002</v>
      </c>
      <c r="M532" s="128"/>
      <c r="N532" s="129">
        <f t="shared" si="28"/>
        <v>136730.36999999988</v>
      </c>
    </row>
    <row r="533" spans="1:14" ht="14.25" x14ac:dyDescent="0.2">
      <c r="A533" s="201">
        <v>43716</v>
      </c>
      <c r="B533" s="184"/>
      <c r="C533" s="126"/>
      <c r="D533" s="135"/>
      <c r="E533" s="211"/>
      <c r="F533" s="122"/>
      <c r="G533" s="126"/>
      <c r="H533" s="135"/>
      <c r="I533" s="135"/>
      <c r="J533" s="203">
        <v>164</v>
      </c>
      <c r="K533" s="182">
        <f t="shared" si="26"/>
        <v>52.480000000000004</v>
      </c>
      <c r="L533" s="182">
        <f t="shared" si="27"/>
        <v>111.52000000000001</v>
      </c>
      <c r="M533" s="128"/>
      <c r="N533" s="129">
        <f t="shared" si="28"/>
        <v>136841.88999999987</v>
      </c>
    </row>
    <row r="534" spans="1:14" ht="14.25" x14ac:dyDescent="0.2">
      <c r="A534" s="201">
        <v>43718</v>
      </c>
      <c r="B534" s="184"/>
      <c r="C534" s="126"/>
      <c r="D534" s="135"/>
      <c r="E534" s="211"/>
      <c r="F534" s="122"/>
      <c r="G534" s="126"/>
      <c r="H534" s="135"/>
      <c r="I534" s="135"/>
      <c r="J534" s="203">
        <v>188</v>
      </c>
      <c r="K534" s="182">
        <f t="shared" si="26"/>
        <v>60.160000000000004</v>
      </c>
      <c r="L534" s="182">
        <f t="shared" si="27"/>
        <v>127.84</v>
      </c>
      <c r="M534" s="128"/>
      <c r="N534" s="129">
        <f t="shared" si="28"/>
        <v>136969.72999999986</v>
      </c>
    </row>
    <row r="535" spans="1:14" ht="14.25" x14ac:dyDescent="0.2">
      <c r="A535" s="201">
        <v>43719</v>
      </c>
      <c r="B535" s="184"/>
      <c r="C535" s="126"/>
      <c r="D535" s="135"/>
      <c r="E535" s="211"/>
      <c r="F535" s="122"/>
      <c r="G535" s="126"/>
      <c r="H535" s="135"/>
      <c r="I535" s="135"/>
      <c r="J535" s="203">
        <v>328</v>
      </c>
      <c r="K535" s="182">
        <f t="shared" si="26"/>
        <v>104.96000000000001</v>
      </c>
      <c r="L535" s="182">
        <f t="shared" si="27"/>
        <v>223.04000000000002</v>
      </c>
      <c r="M535" s="128"/>
      <c r="N535" s="129">
        <f t="shared" si="28"/>
        <v>137192.76999999987</v>
      </c>
    </row>
    <row r="536" spans="1:14" ht="14.25" x14ac:dyDescent="0.2">
      <c r="A536" s="201">
        <v>43720</v>
      </c>
      <c r="B536" s="184"/>
      <c r="C536" s="126"/>
      <c r="D536" s="135"/>
      <c r="E536" s="211"/>
      <c r="F536" s="122"/>
      <c r="G536" s="126"/>
      <c r="H536" s="135"/>
      <c r="I536" s="135"/>
      <c r="J536" s="203">
        <v>1436</v>
      </c>
      <c r="K536" s="182">
        <f t="shared" si="26"/>
        <v>459.52</v>
      </c>
      <c r="L536" s="182">
        <f t="shared" si="27"/>
        <v>976.48</v>
      </c>
      <c r="M536" s="128"/>
      <c r="N536" s="129">
        <f t="shared" si="28"/>
        <v>138169.24999999988</v>
      </c>
    </row>
    <row r="537" spans="1:14" ht="14.25" x14ac:dyDescent="0.2">
      <c r="A537" s="201">
        <v>43721</v>
      </c>
      <c r="B537" s="184"/>
      <c r="C537" s="126"/>
      <c r="D537" s="135"/>
      <c r="E537" s="211"/>
      <c r="F537" s="122"/>
      <c r="G537" s="126"/>
      <c r="H537" s="135"/>
      <c r="I537" s="135"/>
      <c r="J537" s="203">
        <v>810</v>
      </c>
      <c r="K537" s="182">
        <f t="shared" si="26"/>
        <v>259.2</v>
      </c>
      <c r="L537" s="182">
        <f t="shared" si="27"/>
        <v>550.80000000000007</v>
      </c>
      <c r="M537" s="128"/>
      <c r="N537" s="129">
        <f t="shared" si="28"/>
        <v>138720.04999999987</v>
      </c>
    </row>
    <row r="538" spans="1:14" ht="14.25" x14ac:dyDescent="0.2">
      <c r="A538" s="201">
        <v>43722</v>
      </c>
      <c r="B538" s="184"/>
      <c r="C538" s="126"/>
      <c r="D538" s="135"/>
      <c r="E538" s="211"/>
      <c r="F538" s="122"/>
      <c r="G538" s="126"/>
      <c r="H538" s="135"/>
      <c r="I538" s="135"/>
      <c r="J538" s="203">
        <v>0</v>
      </c>
      <c r="K538" s="182">
        <f t="shared" si="26"/>
        <v>0</v>
      </c>
      <c r="L538" s="182">
        <f t="shared" si="27"/>
        <v>0</v>
      </c>
      <c r="M538" s="128"/>
      <c r="N538" s="129">
        <f t="shared" si="28"/>
        <v>138720.04999999987</v>
      </c>
    </row>
    <row r="539" spans="1:14" ht="14.25" x14ac:dyDescent="0.2">
      <c r="A539" s="201">
        <v>43726</v>
      </c>
      <c r="B539" s="184"/>
      <c r="C539" s="126"/>
      <c r="D539" s="135"/>
      <c r="E539" s="211"/>
      <c r="F539" s="122"/>
      <c r="G539" s="126"/>
      <c r="H539" s="135"/>
      <c r="I539" s="135"/>
      <c r="J539" s="203">
        <v>108</v>
      </c>
      <c r="K539" s="182">
        <f t="shared" si="26"/>
        <v>34.56</v>
      </c>
      <c r="L539" s="182">
        <f t="shared" si="27"/>
        <v>73.440000000000012</v>
      </c>
      <c r="M539" s="128"/>
      <c r="N539" s="129">
        <f t="shared" si="28"/>
        <v>138793.48999999987</v>
      </c>
    </row>
    <row r="540" spans="1:14" ht="14.25" x14ac:dyDescent="0.2">
      <c r="A540" s="201">
        <v>43727</v>
      </c>
      <c r="B540" s="184"/>
      <c r="C540" s="126"/>
      <c r="D540" s="135"/>
      <c r="E540" s="211"/>
      <c r="F540" s="122"/>
      <c r="G540" s="126"/>
      <c r="H540" s="135"/>
      <c r="I540" s="135"/>
      <c r="J540" s="203">
        <v>598</v>
      </c>
      <c r="K540" s="182">
        <f t="shared" si="26"/>
        <v>191.36</v>
      </c>
      <c r="L540" s="182">
        <f t="shared" si="27"/>
        <v>406.64000000000004</v>
      </c>
      <c r="M540" s="128"/>
      <c r="N540" s="129"/>
    </row>
    <row r="541" spans="1:14" ht="14.25" x14ac:dyDescent="0.2">
      <c r="A541" s="201">
        <v>43728</v>
      </c>
      <c r="B541" s="184"/>
      <c r="C541" s="126"/>
      <c r="D541" s="135"/>
      <c r="E541" s="211"/>
      <c r="F541" s="122"/>
      <c r="G541" s="126"/>
      <c r="H541" s="135"/>
      <c r="I541" s="135"/>
      <c r="J541" s="203">
        <v>1066</v>
      </c>
      <c r="K541" s="182">
        <f t="shared" si="26"/>
        <v>341.12</v>
      </c>
      <c r="L541" s="182">
        <f t="shared" si="27"/>
        <v>724.88</v>
      </c>
      <c r="M541" s="128"/>
      <c r="N541" s="129">
        <f>+L541-M541+N539</f>
        <v>139518.36999999988</v>
      </c>
    </row>
    <row r="542" spans="1:14" ht="14.25" x14ac:dyDescent="0.2">
      <c r="A542" s="201">
        <v>43729</v>
      </c>
      <c r="B542" s="184"/>
      <c r="C542" s="126"/>
      <c r="D542" s="135"/>
      <c r="E542" s="211"/>
      <c r="F542" s="122"/>
      <c r="G542" s="126"/>
      <c r="H542" s="135"/>
      <c r="I542" s="135"/>
      <c r="J542" s="203">
        <v>164</v>
      </c>
      <c r="K542" s="182">
        <f t="shared" si="26"/>
        <v>52.480000000000004</v>
      </c>
      <c r="L542" s="182">
        <f t="shared" si="27"/>
        <v>111.52000000000001</v>
      </c>
      <c r="M542" s="128"/>
      <c r="N542" s="129">
        <f t="shared" si="28"/>
        <v>139629.88999999987</v>
      </c>
    </row>
    <row r="543" spans="1:14" ht="14.25" x14ac:dyDescent="0.2">
      <c r="A543" s="201">
        <v>43730</v>
      </c>
      <c r="B543" s="184"/>
      <c r="C543" s="126"/>
      <c r="D543" s="135"/>
      <c r="E543" s="211"/>
      <c r="F543" s="122"/>
      <c r="G543" s="126"/>
      <c r="H543" s="135"/>
      <c r="I543" s="135"/>
      <c r="J543" s="203">
        <v>100</v>
      </c>
      <c r="K543" s="182">
        <f t="shared" si="26"/>
        <v>32</v>
      </c>
      <c r="L543" s="182">
        <f t="shared" si="27"/>
        <v>68</v>
      </c>
      <c r="M543" s="128"/>
      <c r="N543" s="129">
        <f t="shared" si="28"/>
        <v>139697.88999999987</v>
      </c>
    </row>
    <row r="544" spans="1:14" ht="14.25" x14ac:dyDescent="0.2">
      <c r="A544" s="201">
        <v>43732</v>
      </c>
      <c r="B544" s="184"/>
      <c r="C544" s="126"/>
      <c r="D544" s="135"/>
      <c r="E544" s="211"/>
      <c r="F544" s="122"/>
      <c r="G544" s="126"/>
      <c r="H544" s="135"/>
      <c r="I544" s="135"/>
      <c r="J544" s="203">
        <v>1188</v>
      </c>
      <c r="K544" s="182">
        <f t="shared" si="26"/>
        <v>380.16</v>
      </c>
      <c r="L544" s="182">
        <f t="shared" si="27"/>
        <v>807.84</v>
      </c>
      <c r="M544" s="128"/>
      <c r="N544" s="129">
        <f t="shared" si="28"/>
        <v>140505.72999999986</v>
      </c>
    </row>
    <row r="545" spans="1:14" ht="14.25" x14ac:dyDescent="0.2">
      <c r="A545" s="201">
        <v>43733</v>
      </c>
      <c r="B545" s="184"/>
      <c r="C545" s="126"/>
      <c r="D545" s="135"/>
      <c r="E545" s="211"/>
      <c r="F545" s="122"/>
      <c r="G545" s="126"/>
      <c r="H545" s="135"/>
      <c r="I545" s="135"/>
      <c r="J545" s="203">
        <v>20</v>
      </c>
      <c r="K545" s="182">
        <f t="shared" si="26"/>
        <v>6.4</v>
      </c>
      <c r="L545" s="182">
        <f t="shared" si="27"/>
        <v>13.600000000000001</v>
      </c>
      <c r="M545" s="128"/>
      <c r="N545" s="129">
        <f t="shared" si="28"/>
        <v>140519.32999999987</v>
      </c>
    </row>
    <row r="546" spans="1:14" ht="14.25" x14ac:dyDescent="0.2">
      <c r="A546" s="201">
        <v>43734</v>
      </c>
      <c r="B546" s="184"/>
      <c r="C546" s="126"/>
      <c r="D546" s="135"/>
      <c r="E546" s="211"/>
      <c r="F546" s="122"/>
      <c r="G546" s="126"/>
      <c r="H546" s="135"/>
      <c r="I546" s="135"/>
      <c r="J546" s="203">
        <v>328</v>
      </c>
      <c r="K546" s="182">
        <f t="shared" si="26"/>
        <v>104.96000000000001</v>
      </c>
      <c r="L546" s="182">
        <f t="shared" si="27"/>
        <v>223.04000000000002</v>
      </c>
      <c r="M546" s="128"/>
      <c r="N546" s="129">
        <f t="shared" si="28"/>
        <v>140742.36999999988</v>
      </c>
    </row>
    <row r="547" spans="1:14" ht="14.25" x14ac:dyDescent="0.2">
      <c r="A547" s="201">
        <v>43735</v>
      </c>
      <c r="B547" s="184"/>
      <c r="C547" s="126"/>
      <c r="D547" s="135"/>
      <c r="E547" s="211"/>
      <c r="F547" s="122"/>
      <c r="G547" s="126"/>
      <c r="H547" s="135"/>
      <c r="I547" s="135"/>
      <c r="J547" s="203">
        <v>576</v>
      </c>
      <c r="K547" s="182">
        <f t="shared" si="26"/>
        <v>184.32</v>
      </c>
      <c r="L547" s="182">
        <f t="shared" si="27"/>
        <v>391.68</v>
      </c>
      <c r="M547" s="128"/>
      <c r="N547" s="129">
        <f t="shared" si="28"/>
        <v>141134.04999999987</v>
      </c>
    </row>
    <row r="548" spans="1:14" ht="14.25" x14ac:dyDescent="0.2">
      <c r="A548" s="201">
        <v>43736</v>
      </c>
      <c r="B548" s="184"/>
      <c r="C548" s="126"/>
      <c r="D548" s="135"/>
      <c r="E548" s="211"/>
      <c r="F548" s="122"/>
      <c r="G548" s="126"/>
      <c r="H548" s="135"/>
      <c r="I548" s="135"/>
      <c r="J548" s="203">
        <v>144</v>
      </c>
      <c r="K548" s="182">
        <f t="shared" si="26"/>
        <v>46.08</v>
      </c>
      <c r="L548" s="182">
        <f t="shared" si="27"/>
        <v>97.92</v>
      </c>
      <c r="M548" s="128"/>
      <c r="N548" s="129">
        <f t="shared" si="28"/>
        <v>141231.96999999988</v>
      </c>
    </row>
    <row r="549" spans="1:14" ht="14.25" x14ac:dyDescent="0.2">
      <c r="A549" s="201"/>
      <c r="B549" s="184"/>
      <c r="C549" s="126"/>
      <c r="D549" s="135"/>
      <c r="E549" s="211"/>
      <c r="F549" s="122"/>
      <c r="G549" s="126"/>
      <c r="H549" s="135"/>
      <c r="I549" s="135"/>
      <c r="J549" s="203"/>
      <c r="K549" s="182"/>
      <c r="L549" s="182"/>
      <c r="M549" s="128"/>
      <c r="N549" s="129">
        <f t="shared" si="28"/>
        <v>141231.96999999988</v>
      </c>
    </row>
    <row r="550" spans="1:14" ht="14.25" x14ac:dyDescent="0.2">
      <c r="A550" s="201"/>
      <c r="B550" s="184"/>
      <c r="C550" s="126"/>
      <c r="D550" s="135"/>
      <c r="E550" s="211"/>
      <c r="F550" s="122"/>
      <c r="G550" s="126"/>
      <c r="H550" s="135"/>
      <c r="I550" s="135"/>
      <c r="J550" s="203"/>
      <c r="K550" s="182"/>
      <c r="L550" s="182"/>
      <c r="M550" s="128"/>
      <c r="N550" s="129">
        <f t="shared" si="28"/>
        <v>141231.96999999988</v>
      </c>
    </row>
    <row r="551" spans="1:14" x14ac:dyDescent="0.2">
      <c r="A551" s="131"/>
      <c r="B551" s="212"/>
      <c r="C551" s="122"/>
      <c r="D551" s="122"/>
      <c r="F551" s="122"/>
      <c r="G551" s="133"/>
      <c r="H551" s="123"/>
      <c r="I551" s="123"/>
      <c r="J551" s="127"/>
      <c r="K551" s="128"/>
      <c r="L551" s="128"/>
      <c r="M551" s="128"/>
      <c r="N551" s="129">
        <f t="shared" si="28"/>
        <v>141231.96999999988</v>
      </c>
    </row>
    <row r="552" spans="1:14" ht="15" x14ac:dyDescent="0.25">
      <c r="A552" s="533" t="s">
        <v>387</v>
      </c>
      <c r="B552" s="534"/>
      <c r="C552" s="534"/>
      <c r="D552" s="534"/>
      <c r="E552" s="534"/>
      <c r="F552" s="534"/>
      <c r="G552" s="534"/>
      <c r="H552" s="534"/>
      <c r="I552" s="534"/>
      <c r="J552" s="534"/>
      <c r="K552" s="534"/>
      <c r="L552" s="534"/>
      <c r="M552" s="534"/>
      <c r="N552" s="129">
        <f t="shared" si="28"/>
        <v>141231.96999999988</v>
      </c>
    </row>
    <row r="553" spans="1:14" ht="15" x14ac:dyDescent="0.25">
      <c r="A553" s="213">
        <v>43363</v>
      </c>
      <c r="B553" s="249" t="s">
        <v>388</v>
      </c>
      <c r="C553" s="215"/>
      <c r="D553" s="249" t="s">
        <v>389</v>
      </c>
      <c r="E553" s="216"/>
      <c r="F553" s="216" t="s">
        <v>390</v>
      </c>
      <c r="G553" s="147" t="s">
        <v>391</v>
      </c>
      <c r="J553" s="216"/>
      <c r="K553" s="216"/>
      <c r="L553" s="216"/>
      <c r="M553" s="129">
        <v>1700</v>
      </c>
      <c r="N553" s="129">
        <f t="shared" si="28"/>
        <v>139531.96999999988</v>
      </c>
    </row>
    <row r="554" spans="1:14" x14ac:dyDescent="0.2">
      <c r="A554" s="131"/>
      <c r="B554" s="151" t="s">
        <v>392</v>
      </c>
      <c r="C554" s="152"/>
      <c r="D554" s="186" t="s">
        <v>393</v>
      </c>
      <c r="E554" s="122"/>
      <c r="F554" s="122"/>
      <c r="G554" s="147" t="s">
        <v>394</v>
      </c>
      <c r="H554" s="123"/>
      <c r="I554" s="123"/>
      <c r="J554" s="127"/>
      <c r="K554" s="128"/>
      <c r="L554" s="128"/>
      <c r="M554" s="129">
        <v>950</v>
      </c>
      <c r="N554" s="129">
        <f t="shared" si="28"/>
        <v>138581.96999999988</v>
      </c>
    </row>
    <row r="555" spans="1:14" x14ac:dyDescent="0.2">
      <c r="A555" s="185"/>
      <c r="B555" s="151" t="s">
        <v>395</v>
      </c>
      <c r="C555" s="152"/>
      <c r="D555" s="186" t="s">
        <v>396</v>
      </c>
      <c r="E555" s="122"/>
      <c r="F555" s="146"/>
      <c r="G555" s="147" t="s">
        <v>397</v>
      </c>
      <c r="H555" s="148"/>
      <c r="I555" s="148"/>
      <c r="J555" s="127"/>
      <c r="K555" s="128"/>
      <c r="L555" s="128"/>
      <c r="M555" s="149">
        <v>850</v>
      </c>
      <c r="N555" s="129">
        <f t="shared" si="28"/>
        <v>137731.96999999988</v>
      </c>
    </row>
    <row r="556" spans="1:14" x14ac:dyDescent="0.2">
      <c r="A556" s="185">
        <v>43369</v>
      </c>
      <c r="B556" s="253" t="s">
        <v>398</v>
      </c>
      <c r="C556" s="262"/>
      <c r="D556" s="254" t="s">
        <v>399</v>
      </c>
      <c r="E556" s="122"/>
      <c r="F556" s="146" t="s">
        <v>400</v>
      </c>
      <c r="G556" s="147" t="s">
        <v>401</v>
      </c>
      <c r="H556" s="148"/>
      <c r="I556" s="148"/>
      <c r="J556" s="127"/>
      <c r="K556" s="128"/>
      <c r="L556" s="128"/>
      <c r="M556" s="149">
        <v>800</v>
      </c>
      <c r="N556" s="129">
        <f t="shared" si="28"/>
        <v>136931.96999999988</v>
      </c>
    </row>
    <row r="557" spans="1:14" ht="54" customHeight="1" x14ac:dyDescent="0.25">
      <c r="A557" s="131">
        <v>43369</v>
      </c>
      <c r="B557" s="523" t="s">
        <v>339</v>
      </c>
      <c r="C557" s="524"/>
      <c r="D557" s="122"/>
      <c r="E557" s="122"/>
      <c r="F557" s="251" t="s">
        <v>337</v>
      </c>
      <c r="G557" s="252" t="s">
        <v>402</v>
      </c>
      <c r="H557" s="123"/>
      <c r="I557" s="123"/>
      <c r="J557" s="127"/>
      <c r="K557" s="128"/>
      <c r="L557" s="128"/>
      <c r="M557" s="149">
        <v>300</v>
      </c>
      <c r="N557" s="129">
        <f t="shared" si="28"/>
        <v>136631.96999999988</v>
      </c>
    </row>
    <row r="558" spans="1:14" x14ac:dyDescent="0.2">
      <c r="A558" s="131"/>
      <c r="B558" s="132"/>
      <c r="C558" s="122"/>
      <c r="D558" s="122"/>
      <c r="E558" s="122"/>
      <c r="F558" s="122"/>
      <c r="G558" s="133"/>
      <c r="H558" s="123"/>
      <c r="I558" s="123"/>
      <c r="J558" s="127"/>
      <c r="K558" s="128"/>
      <c r="L558" s="128"/>
      <c r="M558" s="149"/>
      <c r="N558" s="129">
        <f t="shared" si="28"/>
        <v>136631.96999999988</v>
      </c>
    </row>
    <row r="559" spans="1:14" x14ac:dyDescent="0.2">
      <c r="A559" s="219"/>
      <c r="B559" s="261"/>
      <c r="C559" s="223"/>
      <c r="D559" s="223"/>
      <c r="E559" s="223"/>
      <c r="F559" s="223"/>
      <c r="G559" s="133"/>
      <c r="H559" s="225"/>
      <c r="I559" s="234"/>
      <c r="J559" s="226"/>
      <c r="K559" s="227"/>
      <c r="L559" s="228"/>
      <c r="M559" s="229"/>
      <c r="N559" s="129">
        <f t="shared" si="28"/>
        <v>136631.96999999988</v>
      </c>
    </row>
    <row r="560" spans="1:14" x14ac:dyDescent="0.2">
      <c r="A560" s="131"/>
      <c r="B560" s="523"/>
      <c r="C560" s="524"/>
      <c r="D560" s="122"/>
      <c r="E560" s="122"/>
      <c r="F560" s="251"/>
      <c r="G560" s="133"/>
      <c r="H560" s="123"/>
      <c r="I560" s="123"/>
      <c r="J560" s="127"/>
      <c r="K560" s="128"/>
      <c r="L560" s="128"/>
      <c r="M560" s="149"/>
      <c r="N560" s="129">
        <f t="shared" si="28"/>
        <v>136631.96999999988</v>
      </c>
    </row>
    <row r="561" spans="1:14" x14ac:dyDescent="0.2">
      <c r="A561" s="131"/>
      <c r="B561" s="132"/>
      <c r="C561" s="122"/>
      <c r="D561" s="122"/>
      <c r="E561" s="122"/>
      <c r="F561" s="122"/>
      <c r="G561" s="133"/>
      <c r="H561" s="123"/>
      <c r="I561" s="123"/>
      <c r="J561" s="127"/>
      <c r="K561" s="128"/>
      <c r="L561" s="128"/>
      <c r="M561" s="149"/>
      <c r="N561" s="129">
        <f t="shared" si="28"/>
        <v>136631.96999999988</v>
      </c>
    </row>
    <row r="562" spans="1:14" ht="15" x14ac:dyDescent="0.25">
      <c r="A562" s="131"/>
      <c r="B562" s="523"/>
      <c r="C562" s="524"/>
      <c r="D562" s="122"/>
      <c r="E562" s="122"/>
      <c r="F562" s="251"/>
      <c r="G562" s="252"/>
      <c r="H562" s="123"/>
      <c r="I562" s="123"/>
      <c r="J562" s="127"/>
      <c r="K562" s="128"/>
      <c r="L562" s="128"/>
      <c r="M562" s="149"/>
      <c r="N562" s="129">
        <f t="shared" si="28"/>
        <v>136631.96999999988</v>
      </c>
    </row>
    <row r="563" spans="1:14" x14ac:dyDescent="0.2">
      <c r="A563" s="230"/>
      <c r="B563" s="231"/>
      <c r="C563" s="232"/>
      <c r="D563" s="232"/>
      <c r="E563" s="232"/>
      <c r="F563" s="232"/>
      <c r="G563" s="133"/>
      <c r="H563" s="123"/>
      <c r="I563" s="123"/>
      <c r="J563" s="127"/>
      <c r="K563" s="128"/>
      <c r="L563" s="128"/>
      <c r="M563" s="149"/>
      <c r="N563" s="129"/>
    </row>
    <row r="564" spans="1:14" ht="13.5" thickBot="1" x14ac:dyDescent="0.25">
      <c r="A564" s="238"/>
      <c r="B564" s="239"/>
      <c r="C564" s="240"/>
      <c r="D564" s="240"/>
      <c r="E564" s="241"/>
      <c r="F564" s="242"/>
      <c r="G564" s="243"/>
      <c r="H564" s="244" t="s">
        <v>250</v>
      </c>
      <c r="I564" s="244"/>
      <c r="J564" s="161">
        <f>SUM(J510:J558)</f>
        <v>18708</v>
      </c>
      <c r="K564" s="245">
        <f>SUM(K510:K558)</f>
        <v>5986.5599999999986</v>
      </c>
      <c r="L564" s="246">
        <f>SUM(L510:L548)</f>
        <v>12721.440000000004</v>
      </c>
      <c r="M564" s="247">
        <f>SUM(M553:M562)</f>
        <v>4600</v>
      </c>
      <c r="N564" s="248"/>
    </row>
    <row r="565" spans="1:14" ht="13.5" thickBot="1" x14ac:dyDescent="0.25">
      <c r="A565" s="166"/>
      <c r="C565" s="168"/>
      <c r="D565" s="168"/>
      <c r="E565" s="169"/>
      <c r="F565" s="170"/>
      <c r="G565" s="171"/>
      <c r="H565" s="160" t="s">
        <v>13</v>
      </c>
      <c r="I565" s="314"/>
      <c r="J565" s="172"/>
      <c r="K565" s="173"/>
      <c r="L565" s="174"/>
      <c r="M565" s="174"/>
      <c r="N565" s="175">
        <f>+L564-M564+N509</f>
        <v>137038.60999999987</v>
      </c>
    </row>
    <row r="566" spans="1:14" x14ac:dyDescent="0.2">
      <c r="A566" s="166"/>
      <c r="C566" s="168"/>
      <c r="D566" s="168"/>
      <c r="E566" s="169"/>
      <c r="F566" s="170"/>
      <c r="G566" s="171"/>
      <c r="H566" s="171"/>
      <c r="I566" s="171"/>
      <c r="J566" s="189"/>
      <c r="K566" s="188"/>
      <c r="L566" s="180"/>
      <c r="M566" s="180"/>
      <c r="N566" s="189"/>
    </row>
    <row r="567" spans="1:14" x14ac:dyDescent="0.2">
      <c r="A567" s="527" t="s">
        <v>95</v>
      </c>
      <c r="B567" s="528"/>
      <c r="C567" s="528"/>
      <c r="D567" s="528"/>
      <c r="E567" s="528"/>
      <c r="F567" s="528"/>
      <c r="G567" s="528"/>
      <c r="H567" s="528"/>
      <c r="I567" s="528"/>
      <c r="J567" s="528"/>
      <c r="K567" s="528"/>
      <c r="L567" s="528"/>
      <c r="M567" s="528"/>
      <c r="N567" s="529"/>
    </row>
    <row r="568" spans="1:14" x14ac:dyDescent="0.2">
      <c r="A568" s="530"/>
      <c r="B568" s="531"/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2"/>
    </row>
    <row r="569" spans="1:14" ht="15" x14ac:dyDescent="0.25">
      <c r="A569" s="533" t="s">
        <v>403</v>
      </c>
      <c r="B569" s="534"/>
      <c r="C569" s="534"/>
      <c r="D569" s="534"/>
      <c r="E569" s="534"/>
      <c r="F569" s="534"/>
      <c r="G569" s="534"/>
      <c r="H569" s="534"/>
      <c r="I569" s="534"/>
      <c r="J569" s="534"/>
      <c r="K569" s="534"/>
      <c r="L569" s="534"/>
      <c r="M569" s="534"/>
      <c r="N569" s="534"/>
    </row>
    <row r="570" spans="1:14" x14ac:dyDescent="0.2">
      <c r="A570" s="115" t="s">
        <v>1</v>
      </c>
      <c r="B570" s="116" t="s">
        <v>2</v>
      </c>
      <c r="C570" s="117" t="s">
        <v>3</v>
      </c>
      <c r="D570" s="117" t="s">
        <v>4</v>
      </c>
      <c r="E570" s="117" t="s">
        <v>96</v>
      </c>
      <c r="F570" s="117" t="s">
        <v>5</v>
      </c>
      <c r="G570" s="118" t="s">
        <v>97</v>
      </c>
      <c r="H570" s="118" t="s">
        <v>6</v>
      </c>
      <c r="I570" s="118"/>
      <c r="J570" s="117" t="s">
        <v>7</v>
      </c>
      <c r="K570" s="117" t="s">
        <v>8</v>
      </c>
      <c r="L570" s="117" t="s">
        <v>9</v>
      </c>
      <c r="M570" s="119" t="s">
        <v>10</v>
      </c>
      <c r="N570" s="117" t="s">
        <v>11</v>
      </c>
    </row>
    <row r="571" spans="1:14" x14ac:dyDescent="0.2">
      <c r="A571" s="120"/>
      <c r="B571" s="121"/>
      <c r="C571" s="122"/>
      <c r="D571" s="122"/>
      <c r="E571" s="122"/>
      <c r="F571" s="122"/>
      <c r="G571" s="101"/>
      <c r="H571" s="123"/>
      <c r="I571" s="123"/>
      <c r="J571" s="124"/>
      <c r="K571" s="125"/>
      <c r="L571" s="125"/>
      <c r="M571" s="125"/>
      <c r="N571" s="124">
        <f>N565</f>
        <v>137038.60999999987</v>
      </c>
    </row>
    <row r="572" spans="1:14" ht="14.25" x14ac:dyDescent="0.2">
      <c r="A572" s="201">
        <v>43376</v>
      </c>
      <c r="B572" s="184" t="s">
        <v>404</v>
      </c>
      <c r="C572" s="126"/>
      <c r="D572" s="122"/>
      <c r="E572" s="122"/>
      <c r="F572" s="122"/>
      <c r="G572" s="126" t="s">
        <v>405</v>
      </c>
      <c r="H572" s="122"/>
      <c r="I572" s="122"/>
      <c r="J572" s="190">
        <v>308</v>
      </c>
      <c r="K572" s="182">
        <f>+J572*0.32</f>
        <v>98.56</v>
      </c>
      <c r="L572" s="182">
        <f>+J572*0.68</f>
        <v>209.44000000000003</v>
      </c>
      <c r="M572" s="128"/>
      <c r="N572" s="129">
        <f>+L572-M572+N571</f>
        <v>137248.04999999987</v>
      </c>
    </row>
    <row r="573" spans="1:14" ht="14.25" x14ac:dyDescent="0.2">
      <c r="A573" s="201">
        <v>43379</v>
      </c>
      <c r="B573" s="184" t="s">
        <v>404</v>
      </c>
      <c r="C573" s="126"/>
      <c r="D573" s="122"/>
      <c r="E573" s="122"/>
      <c r="F573" s="122"/>
      <c r="G573" s="126" t="s">
        <v>405</v>
      </c>
      <c r="H573" s="122"/>
      <c r="I573" s="122"/>
      <c r="J573" s="190">
        <v>288</v>
      </c>
      <c r="K573" s="182">
        <f t="shared" ref="K573:K609" si="29">+J573*0.32</f>
        <v>92.16</v>
      </c>
      <c r="L573" s="182">
        <f>+J573*0.68</f>
        <v>195.84</v>
      </c>
      <c r="M573" s="128"/>
      <c r="N573" s="129">
        <f t="shared" ref="N573:N626" si="30">+L573-M573+N572</f>
        <v>137443.88999999987</v>
      </c>
    </row>
    <row r="574" spans="1:14" ht="14.25" x14ac:dyDescent="0.2">
      <c r="A574" s="201">
        <v>43382</v>
      </c>
      <c r="B574" s="184" t="s">
        <v>404</v>
      </c>
      <c r="C574" s="126"/>
      <c r="D574" s="122"/>
      <c r="E574" s="183"/>
      <c r="F574" s="183"/>
      <c r="G574" s="126" t="s">
        <v>405</v>
      </c>
      <c r="H574" s="122"/>
      <c r="I574" s="122"/>
      <c r="J574" s="190">
        <v>164</v>
      </c>
      <c r="K574" s="182">
        <f t="shared" si="29"/>
        <v>52.480000000000004</v>
      </c>
      <c r="L574" s="182">
        <f t="shared" ref="L574:L614" si="31">+J574*0.68</f>
        <v>111.52000000000001</v>
      </c>
      <c r="M574" s="128"/>
      <c r="N574" s="129">
        <f t="shared" si="30"/>
        <v>137555.40999999986</v>
      </c>
    </row>
    <row r="575" spans="1:14" ht="14.25" x14ac:dyDescent="0.2">
      <c r="A575" s="201">
        <v>43383</v>
      </c>
      <c r="B575" s="184" t="s">
        <v>404</v>
      </c>
      <c r="C575" s="126"/>
      <c r="D575" s="122"/>
      <c r="E575" s="122"/>
      <c r="F575" s="122"/>
      <c r="G575" s="126" t="s">
        <v>405</v>
      </c>
      <c r="H575" s="122"/>
      <c r="I575" s="122"/>
      <c r="J575" s="190">
        <v>308</v>
      </c>
      <c r="K575" s="182">
        <f t="shared" si="29"/>
        <v>98.56</v>
      </c>
      <c r="L575" s="182">
        <f t="shared" si="31"/>
        <v>209.44000000000003</v>
      </c>
      <c r="M575" s="128"/>
      <c r="N575" s="129">
        <f t="shared" si="30"/>
        <v>137764.84999999986</v>
      </c>
    </row>
    <row r="576" spans="1:14" ht="14.25" x14ac:dyDescent="0.2">
      <c r="A576" s="201">
        <v>43384</v>
      </c>
      <c r="B576" s="184" t="s">
        <v>404</v>
      </c>
      <c r="C576" s="126"/>
      <c r="D576" s="122"/>
      <c r="E576" s="122"/>
      <c r="F576" s="122"/>
      <c r="G576" s="126" t="s">
        <v>405</v>
      </c>
      <c r="H576" s="122"/>
      <c r="I576" s="122"/>
      <c r="J576" s="190">
        <v>144</v>
      </c>
      <c r="K576" s="182">
        <f t="shared" si="29"/>
        <v>46.08</v>
      </c>
      <c r="L576" s="182">
        <f t="shared" si="31"/>
        <v>97.92</v>
      </c>
      <c r="M576" s="128"/>
      <c r="N576" s="129">
        <f t="shared" si="30"/>
        <v>137862.76999999987</v>
      </c>
    </row>
    <row r="577" spans="1:14" ht="14.25" x14ac:dyDescent="0.2">
      <c r="A577" s="201">
        <v>43385</v>
      </c>
      <c r="B577" s="184" t="s">
        <v>404</v>
      </c>
      <c r="C577" s="126"/>
      <c r="D577" s="122"/>
      <c r="E577" s="122"/>
      <c r="F577" s="122"/>
      <c r="G577" s="126" t="s">
        <v>405</v>
      </c>
      <c r="H577" s="122"/>
      <c r="I577" s="122"/>
      <c r="J577" s="203">
        <v>560</v>
      </c>
      <c r="K577" s="182">
        <f t="shared" si="29"/>
        <v>179.20000000000002</v>
      </c>
      <c r="L577" s="182">
        <f t="shared" si="31"/>
        <v>380.8</v>
      </c>
      <c r="M577" s="128"/>
      <c r="N577" s="129">
        <f t="shared" si="30"/>
        <v>138243.56999999986</v>
      </c>
    </row>
    <row r="578" spans="1:14" ht="14.25" x14ac:dyDescent="0.2">
      <c r="A578" s="201">
        <v>43388</v>
      </c>
      <c r="B578" s="184" t="s">
        <v>404</v>
      </c>
      <c r="C578" s="126"/>
      <c r="D578" s="122"/>
      <c r="E578" s="122"/>
      <c r="F578" s="122"/>
      <c r="G578" s="126" t="s">
        <v>405</v>
      </c>
      <c r="H578" s="122"/>
      <c r="I578" s="122"/>
      <c r="J578" s="203">
        <v>308</v>
      </c>
      <c r="K578" s="182">
        <f t="shared" si="29"/>
        <v>98.56</v>
      </c>
      <c r="L578" s="182">
        <f t="shared" si="31"/>
        <v>209.44000000000003</v>
      </c>
      <c r="M578" s="128"/>
      <c r="N578" s="129">
        <f t="shared" si="30"/>
        <v>138453.00999999986</v>
      </c>
    </row>
    <row r="579" spans="1:14" ht="14.25" x14ac:dyDescent="0.2">
      <c r="A579" s="201">
        <v>43390</v>
      </c>
      <c r="B579" s="184" t="s">
        <v>404</v>
      </c>
      <c r="C579" s="126"/>
      <c r="D579" s="122"/>
      <c r="E579" s="122"/>
      <c r="F579" s="122"/>
      <c r="G579" s="126" t="s">
        <v>405</v>
      </c>
      <c r="H579" s="122"/>
      <c r="I579" s="122"/>
      <c r="J579" s="203">
        <v>20</v>
      </c>
      <c r="K579" s="182">
        <f t="shared" si="29"/>
        <v>6.4</v>
      </c>
      <c r="L579" s="182">
        <f t="shared" si="31"/>
        <v>13.600000000000001</v>
      </c>
      <c r="M579" s="128"/>
      <c r="N579" s="129">
        <f t="shared" si="30"/>
        <v>138466.60999999987</v>
      </c>
    </row>
    <row r="580" spans="1:14" ht="14.25" x14ac:dyDescent="0.2">
      <c r="A580" s="201">
        <v>43391</v>
      </c>
      <c r="B580" s="184" t="s">
        <v>406</v>
      </c>
      <c r="C580" s="126"/>
      <c r="D580" s="122"/>
      <c r="E580" s="122"/>
      <c r="F580" s="122"/>
      <c r="G580" s="126" t="s">
        <v>407</v>
      </c>
      <c r="H580" s="122"/>
      <c r="I580" s="122"/>
      <c r="J580" s="203">
        <v>320</v>
      </c>
      <c r="K580" s="182">
        <f t="shared" si="29"/>
        <v>102.4</v>
      </c>
      <c r="L580" s="182">
        <f t="shared" si="31"/>
        <v>217.60000000000002</v>
      </c>
      <c r="M580" s="128"/>
      <c r="N580" s="129">
        <f t="shared" si="30"/>
        <v>138684.20999999988</v>
      </c>
    </row>
    <row r="581" spans="1:14" ht="14.25" x14ac:dyDescent="0.2">
      <c r="A581" s="201">
        <v>43392</v>
      </c>
      <c r="B581" s="184" t="s">
        <v>406</v>
      </c>
      <c r="C581" s="126"/>
      <c r="D581" s="122"/>
      <c r="E581" s="122"/>
      <c r="F581" s="122"/>
      <c r="G581" s="126" t="s">
        <v>407</v>
      </c>
      <c r="H581" s="122"/>
      <c r="I581" s="122"/>
      <c r="J581" s="203">
        <v>628</v>
      </c>
      <c r="K581" s="182">
        <f t="shared" si="29"/>
        <v>200.96</v>
      </c>
      <c r="L581" s="182">
        <f t="shared" si="31"/>
        <v>427.04</v>
      </c>
      <c r="M581" s="128"/>
      <c r="N581" s="129">
        <f t="shared" si="30"/>
        <v>139111.24999999988</v>
      </c>
    </row>
    <row r="582" spans="1:14" ht="14.25" x14ac:dyDescent="0.2">
      <c r="A582" s="201">
        <v>43393</v>
      </c>
      <c r="B582" s="184" t="s">
        <v>406</v>
      </c>
      <c r="C582" s="126"/>
      <c r="D582" s="135"/>
      <c r="E582" s="122"/>
      <c r="F582" s="122"/>
      <c r="G582" s="126" t="s">
        <v>407</v>
      </c>
      <c r="H582" s="135"/>
      <c r="I582" s="135"/>
      <c r="J582" s="203">
        <v>200</v>
      </c>
      <c r="K582" s="182">
        <f t="shared" si="29"/>
        <v>64</v>
      </c>
      <c r="L582" s="182">
        <f t="shared" si="31"/>
        <v>136</v>
      </c>
      <c r="M582" s="128"/>
      <c r="N582" s="129">
        <f t="shared" si="30"/>
        <v>139247.24999999988</v>
      </c>
    </row>
    <row r="583" spans="1:14" ht="14.25" x14ac:dyDescent="0.2">
      <c r="A583" s="201">
        <v>43395</v>
      </c>
      <c r="B583" s="184" t="s">
        <v>406</v>
      </c>
      <c r="C583" s="126"/>
      <c r="D583" s="135"/>
      <c r="E583" s="122"/>
      <c r="F583" s="122"/>
      <c r="G583" s="126" t="s">
        <v>407</v>
      </c>
      <c r="H583" s="135"/>
      <c r="I583" s="135"/>
      <c r="J583" s="203">
        <v>430</v>
      </c>
      <c r="K583" s="182">
        <f t="shared" si="29"/>
        <v>137.6</v>
      </c>
      <c r="L583" s="182">
        <f t="shared" si="31"/>
        <v>292.40000000000003</v>
      </c>
      <c r="M583" s="128"/>
      <c r="N583" s="129">
        <f t="shared" si="30"/>
        <v>139539.64999999988</v>
      </c>
    </row>
    <row r="584" spans="1:14" ht="14.25" x14ac:dyDescent="0.2">
      <c r="A584" s="201">
        <v>43396</v>
      </c>
      <c r="B584" s="184" t="s">
        <v>406</v>
      </c>
      <c r="C584" s="126"/>
      <c r="D584" s="135"/>
      <c r="E584" s="122"/>
      <c r="F584" s="122"/>
      <c r="G584" s="126" t="s">
        <v>407</v>
      </c>
      <c r="H584" s="135"/>
      <c r="I584" s="135"/>
      <c r="J584" s="203">
        <v>468</v>
      </c>
      <c r="K584" s="182">
        <f t="shared" si="29"/>
        <v>149.76</v>
      </c>
      <c r="L584" s="182">
        <f t="shared" si="31"/>
        <v>318.24</v>
      </c>
      <c r="M584" s="128"/>
      <c r="N584" s="129">
        <f t="shared" si="30"/>
        <v>139857.88999999987</v>
      </c>
    </row>
    <row r="585" spans="1:14" ht="14.25" x14ac:dyDescent="0.2">
      <c r="A585" s="201">
        <v>43399</v>
      </c>
      <c r="B585" s="184" t="s">
        <v>406</v>
      </c>
      <c r="C585" s="126"/>
      <c r="D585" s="135"/>
      <c r="E585" s="122"/>
      <c r="F585" s="122"/>
      <c r="G585" s="126" t="s">
        <v>407</v>
      </c>
      <c r="H585" s="135"/>
      <c r="I585" s="135"/>
      <c r="J585" s="203">
        <v>308</v>
      </c>
      <c r="K585" s="182">
        <f t="shared" si="29"/>
        <v>98.56</v>
      </c>
      <c r="L585" s="182">
        <f t="shared" si="31"/>
        <v>209.44000000000003</v>
      </c>
      <c r="M585" s="128"/>
      <c r="N585" s="129">
        <f t="shared" si="30"/>
        <v>140067.32999999987</v>
      </c>
    </row>
    <row r="586" spans="1:14" ht="14.25" x14ac:dyDescent="0.2">
      <c r="A586" s="201">
        <v>43402</v>
      </c>
      <c r="B586" s="184" t="s">
        <v>406</v>
      </c>
      <c r="C586" s="126"/>
      <c r="D586" s="135"/>
      <c r="E586" s="122"/>
      <c r="F586" s="122"/>
      <c r="G586" s="126" t="s">
        <v>407</v>
      </c>
      <c r="H586" s="135"/>
      <c r="I586" s="135"/>
      <c r="J586" s="203">
        <v>190</v>
      </c>
      <c r="K586" s="182">
        <f t="shared" si="29"/>
        <v>60.800000000000004</v>
      </c>
      <c r="L586" s="182">
        <f t="shared" si="31"/>
        <v>129.20000000000002</v>
      </c>
      <c r="M586" s="128"/>
      <c r="N586" s="129">
        <f t="shared" si="30"/>
        <v>140196.52999999988</v>
      </c>
    </row>
    <row r="587" spans="1:14" ht="14.25" x14ac:dyDescent="0.2">
      <c r="A587" s="201">
        <v>43403</v>
      </c>
      <c r="B587" s="184" t="s">
        <v>406</v>
      </c>
      <c r="C587" s="126"/>
      <c r="D587" s="135"/>
      <c r="E587" s="122"/>
      <c r="F587" s="122"/>
      <c r="G587" s="126" t="s">
        <v>407</v>
      </c>
      <c r="H587" s="135"/>
      <c r="I587" s="135"/>
      <c r="J587" s="203">
        <v>190</v>
      </c>
      <c r="K587" s="182">
        <f t="shared" si="29"/>
        <v>60.800000000000004</v>
      </c>
      <c r="L587" s="182">
        <f t="shared" si="31"/>
        <v>129.20000000000002</v>
      </c>
      <c r="M587" s="128"/>
      <c r="N587" s="129">
        <f t="shared" si="30"/>
        <v>140325.72999999989</v>
      </c>
    </row>
    <row r="588" spans="1:14" ht="14.25" x14ac:dyDescent="0.2">
      <c r="A588" s="201">
        <v>43404</v>
      </c>
      <c r="B588" s="184" t="s">
        <v>406</v>
      </c>
      <c r="C588" s="126"/>
      <c r="D588" s="135"/>
      <c r="E588" s="122"/>
      <c r="F588" s="122"/>
      <c r="G588" s="126" t="s">
        <v>407</v>
      </c>
      <c r="H588" s="135"/>
      <c r="I588" s="135"/>
      <c r="J588" s="203">
        <v>328</v>
      </c>
      <c r="K588" s="182">
        <f t="shared" si="29"/>
        <v>104.96000000000001</v>
      </c>
      <c r="L588" s="182">
        <f t="shared" si="31"/>
        <v>223.04000000000002</v>
      </c>
      <c r="M588" s="128"/>
      <c r="N588" s="129">
        <f t="shared" si="30"/>
        <v>140548.7699999999</v>
      </c>
    </row>
    <row r="589" spans="1:14" ht="14.25" x14ac:dyDescent="0.2">
      <c r="A589" s="201">
        <v>43739</v>
      </c>
      <c r="B589" s="184"/>
      <c r="C589" s="126"/>
      <c r="D589" s="135"/>
      <c r="E589" s="122"/>
      <c r="F589" s="122"/>
      <c r="G589" s="126"/>
      <c r="H589" s="135"/>
      <c r="I589" s="135"/>
      <c r="J589" s="203">
        <v>308</v>
      </c>
      <c r="K589" s="182">
        <f t="shared" si="29"/>
        <v>98.56</v>
      </c>
      <c r="L589" s="182">
        <f t="shared" si="31"/>
        <v>209.44000000000003</v>
      </c>
      <c r="M589" s="128"/>
      <c r="N589" s="129">
        <f t="shared" si="30"/>
        <v>140758.2099999999</v>
      </c>
    </row>
    <row r="590" spans="1:14" ht="14.25" x14ac:dyDescent="0.2">
      <c r="A590" s="201">
        <v>43740</v>
      </c>
      <c r="B590" s="184"/>
      <c r="C590" s="126"/>
      <c r="D590" s="135"/>
      <c r="E590" s="122"/>
      <c r="F590" s="122"/>
      <c r="G590" s="126"/>
      <c r="H590" s="135"/>
      <c r="I590" s="135"/>
      <c r="J590" s="203">
        <v>270</v>
      </c>
      <c r="K590" s="182">
        <f t="shared" si="29"/>
        <v>86.4</v>
      </c>
      <c r="L590" s="182">
        <f t="shared" si="31"/>
        <v>183.60000000000002</v>
      </c>
      <c r="M590" s="128"/>
      <c r="N590" s="129">
        <f t="shared" si="30"/>
        <v>140941.80999999991</v>
      </c>
    </row>
    <row r="591" spans="1:14" ht="14.25" x14ac:dyDescent="0.2">
      <c r="A591" s="201">
        <v>43741</v>
      </c>
      <c r="B591" s="184"/>
      <c r="C591" s="126"/>
      <c r="D591" s="135"/>
      <c r="E591" s="122"/>
      <c r="F591" s="122"/>
      <c r="G591" s="126"/>
      <c r="H591" s="135"/>
      <c r="I591" s="135"/>
      <c r="J591" s="203">
        <v>308</v>
      </c>
      <c r="K591" s="182">
        <f t="shared" si="29"/>
        <v>98.56</v>
      </c>
      <c r="L591" s="182">
        <f t="shared" si="31"/>
        <v>209.44000000000003</v>
      </c>
      <c r="M591" s="128"/>
      <c r="N591" s="129">
        <f t="shared" si="30"/>
        <v>141151.24999999991</v>
      </c>
    </row>
    <row r="592" spans="1:14" ht="14.25" x14ac:dyDescent="0.2">
      <c r="A592" s="201">
        <v>43742</v>
      </c>
      <c r="B592" s="184"/>
      <c r="C592" s="126"/>
      <c r="D592" s="135"/>
      <c r="E592" s="122"/>
      <c r="F592" s="122"/>
      <c r="G592" s="126"/>
      <c r="H592" s="135"/>
      <c r="I592" s="135"/>
      <c r="J592" s="203">
        <v>184</v>
      </c>
      <c r="K592" s="182">
        <f t="shared" si="29"/>
        <v>58.88</v>
      </c>
      <c r="L592" s="182">
        <f t="shared" si="31"/>
        <v>125.12</v>
      </c>
      <c r="M592" s="128"/>
      <c r="N592" s="129">
        <f t="shared" si="30"/>
        <v>141276.36999999991</v>
      </c>
    </row>
    <row r="593" spans="1:14" ht="14.25" x14ac:dyDescent="0.2">
      <c r="A593" s="201">
        <v>43743</v>
      </c>
      <c r="B593" s="184"/>
      <c r="C593" s="126"/>
      <c r="D593" s="135"/>
      <c r="E593" s="122"/>
      <c r="F593" s="122"/>
      <c r="G593" s="126"/>
      <c r="H593" s="135"/>
      <c r="I593" s="135"/>
      <c r="J593" s="203">
        <v>308</v>
      </c>
      <c r="K593" s="182">
        <f t="shared" si="29"/>
        <v>98.56</v>
      </c>
      <c r="L593" s="182">
        <f t="shared" si="31"/>
        <v>209.44000000000003</v>
      </c>
      <c r="M593" s="128"/>
      <c r="N593" s="129">
        <f t="shared" si="30"/>
        <v>141485.80999999991</v>
      </c>
    </row>
    <row r="594" spans="1:14" ht="14.25" x14ac:dyDescent="0.2">
      <c r="A594" s="201">
        <v>43748</v>
      </c>
      <c r="B594" s="184"/>
      <c r="C594" s="126"/>
      <c r="D594" s="135"/>
      <c r="E594" s="122"/>
      <c r="F594" s="122"/>
      <c r="G594" s="126"/>
      <c r="H594" s="135"/>
      <c r="I594" s="135"/>
      <c r="J594" s="203">
        <v>308</v>
      </c>
      <c r="K594" s="182">
        <f t="shared" si="29"/>
        <v>98.56</v>
      </c>
      <c r="L594" s="182">
        <f t="shared" si="31"/>
        <v>209.44000000000003</v>
      </c>
      <c r="M594" s="128"/>
      <c r="N594" s="129">
        <f t="shared" si="30"/>
        <v>141695.24999999991</v>
      </c>
    </row>
    <row r="595" spans="1:14" ht="14.25" x14ac:dyDescent="0.2">
      <c r="A595" s="201">
        <v>43750</v>
      </c>
      <c r="B595" s="184"/>
      <c r="C595" s="126"/>
      <c r="D595" s="135"/>
      <c r="E595" s="122"/>
      <c r="F595" s="122"/>
      <c r="G595" s="126"/>
      <c r="H595" s="135"/>
      <c r="I595" s="135"/>
      <c r="J595" s="203">
        <v>924</v>
      </c>
      <c r="K595" s="182">
        <f t="shared" si="29"/>
        <v>295.68</v>
      </c>
      <c r="L595" s="182">
        <f t="shared" si="31"/>
        <v>628.32000000000005</v>
      </c>
      <c r="M595" s="128"/>
      <c r="N595" s="129">
        <f t="shared" si="30"/>
        <v>142323.56999999992</v>
      </c>
    </row>
    <row r="596" spans="1:14" ht="14.25" x14ac:dyDescent="0.2">
      <c r="A596" s="201">
        <v>43751</v>
      </c>
      <c r="B596" s="184"/>
      <c r="C596" s="126"/>
      <c r="D596" s="135"/>
      <c r="E596" s="122"/>
      <c r="F596" s="122"/>
      <c r="G596" s="126"/>
      <c r="H596" s="135"/>
      <c r="I596" s="135"/>
      <c r="J596" s="203">
        <v>20</v>
      </c>
      <c r="K596" s="182">
        <f t="shared" si="29"/>
        <v>6.4</v>
      </c>
      <c r="L596" s="182">
        <f t="shared" si="31"/>
        <v>13.600000000000001</v>
      </c>
      <c r="M596" s="128"/>
      <c r="N596" s="129">
        <f t="shared" si="30"/>
        <v>142337.16999999993</v>
      </c>
    </row>
    <row r="597" spans="1:14" ht="14.25" x14ac:dyDescent="0.2">
      <c r="A597" s="201">
        <v>43753</v>
      </c>
      <c r="B597" s="184"/>
      <c r="C597" s="126"/>
      <c r="D597" s="135"/>
      <c r="E597" s="122"/>
      <c r="F597" s="122"/>
      <c r="G597" s="126"/>
      <c r="H597" s="135"/>
      <c r="I597" s="135"/>
      <c r="J597" s="203">
        <v>640</v>
      </c>
      <c r="K597" s="182">
        <f t="shared" si="29"/>
        <v>204.8</v>
      </c>
      <c r="L597" s="182">
        <f t="shared" si="31"/>
        <v>435.20000000000005</v>
      </c>
      <c r="M597" s="128"/>
      <c r="N597" s="129">
        <f t="shared" si="30"/>
        <v>142772.36999999994</v>
      </c>
    </row>
    <row r="598" spans="1:14" ht="14.25" x14ac:dyDescent="0.2">
      <c r="A598" s="201">
        <v>43754</v>
      </c>
      <c r="B598" s="184"/>
      <c r="C598" s="126"/>
      <c r="D598" s="135"/>
      <c r="E598" s="122"/>
      <c r="F598" s="122"/>
      <c r="G598" s="126"/>
      <c r="H598" s="135"/>
      <c r="I598" s="135"/>
      <c r="J598" s="203">
        <v>740</v>
      </c>
      <c r="K598" s="182">
        <f t="shared" si="29"/>
        <v>236.8</v>
      </c>
      <c r="L598" s="182">
        <f t="shared" si="31"/>
        <v>503.20000000000005</v>
      </c>
      <c r="M598" s="128"/>
      <c r="N598" s="129">
        <f t="shared" si="30"/>
        <v>143275.56999999995</v>
      </c>
    </row>
    <row r="599" spans="1:14" ht="14.25" x14ac:dyDescent="0.2">
      <c r="A599" s="201">
        <v>43755</v>
      </c>
      <c r="B599" s="184"/>
      <c r="C599" s="126"/>
      <c r="D599" s="135"/>
      <c r="E599" s="122"/>
      <c r="F599" s="122"/>
      <c r="G599" s="126"/>
      <c r="H599" s="135"/>
      <c r="I599" s="135"/>
      <c r="J599" s="203">
        <v>358</v>
      </c>
      <c r="K599" s="182">
        <f t="shared" si="29"/>
        <v>114.56</v>
      </c>
      <c r="L599" s="182">
        <f t="shared" si="31"/>
        <v>243.44000000000003</v>
      </c>
      <c r="M599" s="128"/>
      <c r="N599" s="129">
        <f t="shared" si="30"/>
        <v>143519.00999999995</v>
      </c>
    </row>
    <row r="600" spans="1:14" ht="14.25" x14ac:dyDescent="0.2">
      <c r="A600" s="201">
        <v>43756</v>
      </c>
      <c r="B600" s="184"/>
      <c r="C600" s="126"/>
      <c r="D600" s="135"/>
      <c r="E600" s="122"/>
      <c r="F600" s="122"/>
      <c r="G600" s="126"/>
      <c r="H600" s="135"/>
      <c r="I600" s="135"/>
      <c r="J600" s="203">
        <v>716</v>
      </c>
      <c r="K600" s="182">
        <f t="shared" si="29"/>
        <v>229.12</v>
      </c>
      <c r="L600" s="182">
        <f t="shared" si="31"/>
        <v>486.88000000000005</v>
      </c>
      <c r="M600" s="128"/>
      <c r="N600" s="129">
        <f t="shared" si="30"/>
        <v>144005.88999999996</v>
      </c>
    </row>
    <row r="601" spans="1:14" ht="14.25" x14ac:dyDescent="0.2">
      <c r="A601" s="201">
        <v>43757</v>
      </c>
      <c r="B601" s="184"/>
      <c r="C601" s="126"/>
      <c r="D601" s="135"/>
      <c r="E601" s="122"/>
      <c r="F601" s="122"/>
      <c r="G601" s="126"/>
      <c r="H601" s="135"/>
      <c r="I601" s="135"/>
      <c r="J601" s="203">
        <v>1130</v>
      </c>
      <c r="K601" s="182">
        <f t="shared" si="29"/>
        <v>361.6</v>
      </c>
      <c r="L601" s="182">
        <f t="shared" si="31"/>
        <v>768.40000000000009</v>
      </c>
      <c r="M601" s="128"/>
      <c r="N601" s="129">
        <f t="shared" si="30"/>
        <v>144774.28999999995</v>
      </c>
    </row>
    <row r="602" spans="1:14" ht="14.25" x14ac:dyDescent="0.2">
      <c r="A602" s="201">
        <v>43760</v>
      </c>
      <c r="B602" s="184"/>
      <c r="C602" s="126"/>
      <c r="D602" s="135"/>
      <c r="E602" s="122"/>
      <c r="F602" s="122"/>
      <c r="G602" s="126"/>
      <c r="H602" s="135"/>
      <c r="I602" s="135"/>
      <c r="J602" s="203">
        <v>340</v>
      </c>
      <c r="K602" s="182">
        <f t="shared" si="29"/>
        <v>108.8</v>
      </c>
      <c r="L602" s="182">
        <f t="shared" si="31"/>
        <v>231.20000000000002</v>
      </c>
      <c r="M602" s="128"/>
      <c r="N602" s="129">
        <f t="shared" si="30"/>
        <v>145005.48999999996</v>
      </c>
    </row>
    <row r="603" spans="1:14" ht="14.25" x14ac:dyDescent="0.2">
      <c r="A603" s="201">
        <v>43761</v>
      </c>
      <c r="B603" s="184"/>
      <c r="C603" s="126"/>
      <c r="D603" s="135"/>
      <c r="E603" s="122"/>
      <c r="F603" s="122"/>
      <c r="G603" s="126"/>
      <c r="H603" s="135"/>
      <c r="I603" s="135"/>
      <c r="J603" s="203">
        <v>1372</v>
      </c>
      <c r="K603" s="182">
        <f t="shared" si="29"/>
        <v>439.04</v>
      </c>
      <c r="L603" s="182">
        <f t="shared" si="31"/>
        <v>932.96</v>
      </c>
      <c r="M603" s="128"/>
      <c r="N603" s="129">
        <f t="shared" si="30"/>
        <v>145938.44999999995</v>
      </c>
    </row>
    <row r="604" spans="1:14" ht="14.25" x14ac:dyDescent="0.2">
      <c r="A604" s="201">
        <v>43762</v>
      </c>
      <c r="B604" s="184"/>
      <c r="C604" s="126"/>
      <c r="D604" s="135"/>
      <c r="E604" s="122"/>
      <c r="F604" s="122"/>
      <c r="G604" s="126"/>
      <c r="H604" s="135"/>
      <c r="I604" s="135"/>
      <c r="J604" s="203">
        <v>758</v>
      </c>
      <c r="K604" s="182">
        <f t="shared" si="29"/>
        <v>242.56</v>
      </c>
      <c r="L604" s="182">
        <f t="shared" si="31"/>
        <v>515.44000000000005</v>
      </c>
      <c r="M604" s="128"/>
      <c r="N604" s="129">
        <f t="shared" si="30"/>
        <v>146453.88999999996</v>
      </c>
    </row>
    <row r="605" spans="1:14" ht="14.25" x14ac:dyDescent="0.2">
      <c r="A605" s="201">
        <v>43763</v>
      </c>
      <c r="B605" s="184"/>
      <c r="C605" s="126"/>
      <c r="D605" s="135"/>
      <c r="E605" s="122"/>
      <c r="F605" s="122"/>
      <c r="G605" s="126"/>
      <c r="H605" s="135"/>
      <c r="I605" s="135"/>
      <c r="J605" s="203">
        <v>616</v>
      </c>
      <c r="K605" s="182">
        <f t="shared" si="29"/>
        <v>197.12</v>
      </c>
      <c r="L605" s="182">
        <f t="shared" si="31"/>
        <v>418.88000000000005</v>
      </c>
      <c r="M605" s="128"/>
      <c r="N605" s="129">
        <f t="shared" si="30"/>
        <v>146872.76999999996</v>
      </c>
    </row>
    <row r="606" spans="1:14" ht="14.25" x14ac:dyDescent="0.2">
      <c r="A606" s="201">
        <v>43764</v>
      </c>
      <c r="B606" s="184"/>
      <c r="C606" s="126"/>
      <c r="D606" s="135"/>
      <c r="E606" s="122"/>
      <c r="F606" s="122"/>
      <c r="G606" s="126"/>
      <c r="H606" s="135"/>
      <c r="I606" s="135"/>
      <c r="J606" s="203">
        <v>150</v>
      </c>
      <c r="K606" s="182">
        <f t="shared" si="29"/>
        <v>48</v>
      </c>
      <c r="L606" s="182">
        <f t="shared" si="31"/>
        <v>102.00000000000001</v>
      </c>
      <c r="M606" s="128"/>
      <c r="N606" s="129">
        <f t="shared" si="30"/>
        <v>146974.76999999996</v>
      </c>
    </row>
    <row r="607" spans="1:14" ht="14.25" x14ac:dyDescent="0.2">
      <c r="A607" s="201">
        <v>43767</v>
      </c>
      <c r="B607" s="184"/>
      <c r="C607" s="126"/>
      <c r="D607" s="135"/>
      <c r="E607" s="122"/>
      <c r="F607" s="122"/>
      <c r="G607" s="126"/>
      <c r="H607" s="135"/>
      <c r="I607" s="135"/>
      <c r="J607" s="203">
        <v>924</v>
      </c>
      <c r="K607" s="182">
        <f t="shared" si="29"/>
        <v>295.68</v>
      </c>
      <c r="L607" s="182">
        <f t="shared" si="31"/>
        <v>628.32000000000005</v>
      </c>
      <c r="M607" s="128"/>
      <c r="N607" s="129">
        <f t="shared" si="30"/>
        <v>147603.08999999997</v>
      </c>
    </row>
    <row r="608" spans="1:14" ht="14.25" x14ac:dyDescent="0.2">
      <c r="A608" s="201">
        <v>43768</v>
      </c>
      <c r="B608" s="184"/>
      <c r="C608" s="126"/>
      <c r="D608" s="135"/>
      <c r="E608" s="122"/>
      <c r="F608" s="122"/>
      <c r="G608" s="126"/>
      <c r="H608" s="135"/>
      <c r="I608" s="135"/>
      <c r="J608" s="203">
        <v>190</v>
      </c>
      <c r="K608" s="182">
        <f t="shared" si="29"/>
        <v>60.800000000000004</v>
      </c>
      <c r="L608" s="182">
        <f t="shared" si="31"/>
        <v>129.20000000000002</v>
      </c>
      <c r="M608" s="128"/>
      <c r="N608" s="129">
        <f t="shared" si="30"/>
        <v>147732.28999999998</v>
      </c>
    </row>
    <row r="609" spans="1:14" ht="14.25" x14ac:dyDescent="0.2">
      <c r="A609" s="201">
        <v>43769</v>
      </c>
      <c r="B609" s="184"/>
      <c r="C609" s="126"/>
      <c r="D609" s="135"/>
      <c r="E609" s="122"/>
      <c r="F609" s="122"/>
      <c r="G609" s="126"/>
      <c r="H609" s="135"/>
      <c r="I609" s="135"/>
      <c r="J609" s="203">
        <v>1376</v>
      </c>
      <c r="K609" s="182">
        <f t="shared" si="29"/>
        <v>440.32</v>
      </c>
      <c r="L609" s="182">
        <f t="shared" si="31"/>
        <v>935.68000000000006</v>
      </c>
      <c r="M609" s="128"/>
      <c r="N609" s="129">
        <f t="shared" si="30"/>
        <v>148667.96999999997</v>
      </c>
    </row>
    <row r="610" spans="1:14" ht="14.25" x14ac:dyDescent="0.2">
      <c r="A610" s="201"/>
      <c r="B610" s="184"/>
      <c r="C610" s="126"/>
      <c r="D610" s="135"/>
      <c r="E610" s="122"/>
      <c r="F610" s="122"/>
      <c r="G610" s="126"/>
      <c r="H610" s="135"/>
      <c r="I610" s="135"/>
      <c r="J610" s="203"/>
      <c r="K610" s="182"/>
      <c r="L610" s="182"/>
      <c r="M610" s="128"/>
      <c r="N610" s="129">
        <f t="shared" si="30"/>
        <v>148667.96999999997</v>
      </c>
    </row>
    <row r="611" spans="1:14" ht="14.25" x14ac:dyDescent="0.2">
      <c r="A611" s="201"/>
      <c r="B611" s="184"/>
      <c r="C611" s="126"/>
      <c r="D611" s="135"/>
      <c r="E611" s="122"/>
      <c r="F611" s="122"/>
      <c r="G611" s="126"/>
      <c r="H611" s="135"/>
      <c r="I611" s="135"/>
      <c r="J611" s="203"/>
      <c r="K611" s="182"/>
      <c r="L611" s="182"/>
      <c r="M611" s="128"/>
      <c r="N611" s="129">
        <f t="shared" si="30"/>
        <v>148667.96999999997</v>
      </c>
    </row>
    <row r="612" spans="1:14" ht="14.25" x14ac:dyDescent="0.2">
      <c r="A612" s="201"/>
      <c r="B612" s="184"/>
      <c r="C612" s="126"/>
      <c r="D612" s="135"/>
      <c r="E612" s="122"/>
      <c r="F612" s="122"/>
      <c r="G612" s="126"/>
      <c r="H612" s="135"/>
      <c r="I612" s="135"/>
      <c r="J612" s="203"/>
      <c r="K612" s="182"/>
      <c r="L612" s="182"/>
      <c r="M612" s="128"/>
      <c r="N612" s="129">
        <f t="shared" si="30"/>
        <v>148667.96999999997</v>
      </c>
    </row>
    <row r="613" spans="1:14" ht="14.25" x14ac:dyDescent="0.2">
      <c r="A613" s="201"/>
      <c r="B613" s="184"/>
      <c r="C613" s="126"/>
      <c r="D613" s="135"/>
      <c r="E613" s="122"/>
      <c r="F613" s="122"/>
      <c r="G613" s="126"/>
      <c r="H613" s="135"/>
      <c r="I613" s="135"/>
      <c r="J613" s="203"/>
      <c r="K613" s="182"/>
      <c r="L613" s="182"/>
      <c r="M613" s="128"/>
      <c r="N613" s="129">
        <f t="shared" si="30"/>
        <v>148667.96999999997</v>
      </c>
    </row>
    <row r="614" spans="1:14" ht="14.25" x14ac:dyDescent="0.2">
      <c r="A614" s="201"/>
      <c r="B614" s="184"/>
      <c r="C614" s="126"/>
      <c r="D614" s="135"/>
      <c r="E614" s="122"/>
      <c r="F614" s="122"/>
      <c r="G614" s="126"/>
      <c r="H614" s="135"/>
      <c r="I614" s="135"/>
      <c r="J614" s="203"/>
      <c r="K614" s="182"/>
      <c r="L614" s="182">
        <f t="shared" si="31"/>
        <v>0</v>
      </c>
      <c r="M614" s="128"/>
      <c r="N614" s="129">
        <f t="shared" si="30"/>
        <v>148667.96999999997</v>
      </c>
    </row>
    <row r="615" spans="1:14" x14ac:dyDescent="0.2">
      <c r="A615" s="131"/>
      <c r="B615" s="212"/>
      <c r="C615" s="122"/>
      <c r="D615" s="122"/>
      <c r="F615" s="122"/>
      <c r="G615" s="133"/>
      <c r="H615" s="123"/>
      <c r="I615" s="123"/>
      <c r="J615" s="127"/>
      <c r="K615" s="128"/>
      <c r="L615" s="128"/>
      <c r="M615" s="128"/>
      <c r="N615" s="129">
        <f t="shared" si="30"/>
        <v>148667.96999999997</v>
      </c>
    </row>
    <row r="616" spans="1:14" ht="15" x14ac:dyDescent="0.25">
      <c r="A616" s="533" t="s">
        <v>408</v>
      </c>
      <c r="B616" s="534"/>
      <c r="C616" s="534"/>
      <c r="D616" s="534"/>
      <c r="E616" s="534"/>
      <c r="F616" s="534"/>
      <c r="G616" s="534"/>
      <c r="H616" s="534"/>
      <c r="I616" s="534"/>
      <c r="J616" s="534"/>
      <c r="K616" s="534"/>
      <c r="L616" s="534"/>
      <c r="M616" s="534"/>
      <c r="N616" s="129">
        <f t="shared" si="30"/>
        <v>148667.96999999997</v>
      </c>
    </row>
    <row r="617" spans="1:14" ht="15" x14ac:dyDescent="0.25">
      <c r="A617" s="213">
        <v>43392</v>
      </c>
      <c r="B617" s="263" t="s">
        <v>409</v>
      </c>
      <c r="C617" s="264"/>
      <c r="D617" s="263" t="s">
        <v>410</v>
      </c>
      <c r="E617" s="216"/>
      <c r="F617" s="216" t="s">
        <v>411</v>
      </c>
      <c r="G617" s="147" t="s">
        <v>412</v>
      </c>
      <c r="H617" s="178" t="s">
        <v>413</v>
      </c>
      <c r="J617" s="216"/>
      <c r="K617" s="216"/>
      <c r="L617" s="216"/>
      <c r="M617" s="129">
        <v>1700</v>
      </c>
      <c r="N617" s="129">
        <f t="shared" si="30"/>
        <v>146967.96999999997</v>
      </c>
    </row>
    <row r="618" spans="1:14" x14ac:dyDescent="0.2">
      <c r="A618" s="131"/>
      <c r="B618" s="253" t="s">
        <v>414</v>
      </c>
      <c r="C618" s="262"/>
      <c r="D618" s="254" t="s">
        <v>415</v>
      </c>
      <c r="E618" s="122"/>
      <c r="F618" s="122"/>
      <c r="G618" s="147"/>
      <c r="H618" s="123" t="s">
        <v>416</v>
      </c>
      <c r="I618" s="123"/>
      <c r="J618" s="127"/>
      <c r="K618" s="128"/>
      <c r="L618" s="128"/>
      <c r="M618" s="129">
        <v>950</v>
      </c>
      <c r="N618" s="129">
        <f t="shared" si="30"/>
        <v>146017.96999999997</v>
      </c>
    </row>
    <row r="619" spans="1:14" x14ac:dyDescent="0.2">
      <c r="A619" s="185"/>
      <c r="B619" s="253" t="s">
        <v>417</v>
      </c>
      <c r="C619" s="262"/>
      <c r="D619" s="254" t="s">
        <v>418</v>
      </c>
      <c r="E619" s="122"/>
      <c r="F619" s="146"/>
      <c r="G619" s="147"/>
      <c r="H619" s="148" t="s">
        <v>419</v>
      </c>
      <c r="I619" s="148"/>
      <c r="J619" s="127"/>
      <c r="K619" s="128"/>
      <c r="L619" s="128"/>
      <c r="M619" s="149">
        <v>850</v>
      </c>
      <c r="N619" s="129">
        <f t="shared" si="30"/>
        <v>145167.96999999997</v>
      </c>
    </row>
    <row r="620" spans="1:14" x14ac:dyDescent="0.2">
      <c r="A620" s="185">
        <v>43396</v>
      </c>
      <c r="B620" s="253" t="s">
        <v>420</v>
      </c>
      <c r="C620" s="262"/>
      <c r="D620" s="254" t="s">
        <v>421</v>
      </c>
      <c r="E620" s="122"/>
      <c r="F620" s="146" t="s">
        <v>422</v>
      </c>
      <c r="G620" s="147" t="s">
        <v>423</v>
      </c>
      <c r="H620" s="148"/>
      <c r="I620" s="148"/>
      <c r="J620" s="127"/>
      <c r="K620" s="128" t="s">
        <v>424</v>
      </c>
      <c r="L620" s="128"/>
      <c r="M620" s="149">
        <v>1040</v>
      </c>
      <c r="N620" s="129">
        <f t="shared" si="30"/>
        <v>144127.96999999997</v>
      </c>
    </row>
    <row r="621" spans="1:14" x14ac:dyDescent="0.2">
      <c r="A621" s="131">
        <v>43396</v>
      </c>
      <c r="B621" s="525" t="s">
        <v>425</v>
      </c>
      <c r="C621" s="526"/>
      <c r="D621" s="254" t="s">
        <v>426</v>
      </c>
      <c r="E621" s="122"/>
      <c r="F621" s="146" t="s">
        <v>427</v>
      </c>
      <c r="G621" s="147" t="s">
        <v>428</v>
      </c>
      <c r="H621" s="123"/>
      <c r="I621" s="123"/>
      <c r="J621" s="127"/>
      <c r="K621" s="128" t="s">
        <v>429</v>
      </c>
      <c r="L621" s="128"/>
      <c r="M621" s="149">
        <v>600</v>
      </c>
      <c r="N621" s="129">
        <f t="shared" si="30"/>
        <v>143527.96999999997</v>
      </c>
    </row>
    <row r="622" spans="1:14" ht="60" x14ac:dyDescent="0.25">
      <c r="A622" s="131">
        <v>43409</v>
      </c>
      <c r="B622" s="523"/>
      <c r="C622" s="524"/>
      <c r="D622" s="122"/>
      <c r="E622" s="122"/>
      <c r="F622" s="251" t="s">
        <v>337</v>
      </c>
      <c r="G622" s="252" t="s">
        <v>430</v>
      </c>
      <c r="H622" s="123"/>
      <c r="I622" s="123"/>
      <c r="J622" s="127"/>
      <c r="K622" s="128"/>
      <c r="L622" s="128"/>
      <c r="M622" s="149">
        <v>300</v>
      </c>
      <c r="N622" s="129">
        <f t="shared" si="30"/>
        <v>143227.96999999997</v>
      </c>
    </row>
    <row r="623" spans="1:14" x14ac:dyDescent="0.2">
      <c r="A623" s="219"/>
      <c r="B623" s="261"/>
      <c r="C623" s="223"/>
      <c r="D623" s="223"/>
      <c r="E623" s="223"/>
      <c r="F623" s="223"/>
      <c r="G623" s="133"/>
      <c r="H623" s="225"/>
      <c r="I623" s="234"/>
      <c r="J623" s="226"/>
      <c r="K623" s="227"/>
      <c r="L623" s="228"/>
      <c r="M623" s="229"/>
      <c r="N623" s="129">
        <f t="shared" si="30"/>
        <v>143227.96999999997</v>
      </c>
    </row>
    <row r="624" spans="1:14" x14ac:dyDescent="0.2">
      <c r="A624" s="131"/>
      <c r="B624" s="523"/>
      <c r="C624" s="524"/>
      <c r="D624" s="122"/>
      <c r="E624" s="122"/>
      <c r="F624" s="251"/>
      <c r="G624" s="133"/>
      <c r="H624" s="123"/>
      <c r="I624" s="123"/>
      <c r="J624" s="127"/>
      <c r="K624" s="128"/>
      <c r="L624" s="128"/>
      <c r="M624" s="149"/>
      <c r="N624" s="129">
        <f t="shared" si="30"/>
        <v>143227.96999999997</v>
      </c>
    </row>
    <row r="625" spans="1:14" x14ac:dyDescent="0.2">
      <c r="A625" s="131"/>
      <c r="B625" s="132"/>
      <c r="C625" s="122"/>
      <c r="D625" s="122"/>
      <c r="E625" s="122"/>
      <c r="F625" s="122"/>
      <c r="G625" s="133"/>
      <c r="H625" s="123"/>
      <c r="I625" s="123"/>
      <c r="J625" s="127"/>
      <c r="K625" s="128"/>
      <c r="L625" s="128"/>
      <c r="M625" s="149"/>
      <c r="N625" s="129">
        <f t="shared" si="30"/>
        <v>143227.96999999997</v>
      </c>
    </row>
    <row r="626" spans="1:14" ht="15" x14ac:dyDescent="0.25">
      <c r="A626" s="131"/>
      <c r="B626" s="523"/>
      <c r="C626" s="524"/>
      <c r="D626" s="122"/>
      <c r="E626" s="122"/>
      <c r="F626" s="251"/>
      <c r="G626" s="252"/>
      <c r="H626" s="123"/>
      <c r="I626" s="123"/>
      <c r="J626" s="127"/>
      <c r="K626" s="128"/>
      <c r="L626" s="128"/>
      <c r="M626" s="149"/>
      <c r="N626" s="129">
        <f t="shared" si="30"/>
        <v>143227.96999999997</v>
      </c>
    </row>
    <row r="627" spans="1:14" x14ac:dyDescent="0.2">
      <c r="A627" s="230"/>
      <c r="B627" s="231"/>
      <c r="C627" s="232"/>
      <c r="D627" s="232"/>
      <c r="E627" s="232"/>
      <c r="F627" s="232"/>
      <c r="G627" s="133"/>
      <c r="H627" s="123"/>
      <c r="I627" s="123"/>
      <c r="J627" s="127"/>
      <c r="K627" s="128"/>
      <c r="L627" s="128"/>
      <c r="M627" s="149"/>
      <c r="N627" s="129"/>
    </row>
    <row r="628" spans="1:14" ht="13.5" thickBot="1" x14ac:dyDescent="0.25">
      <c r="A628" s="238"/>
      <c r="B628" s="239"/>
      <c r="C628" s="240"/>
      <c r="D628" s="240"/>
      <c r="E628" s="241"/>
      <c r="F628" s="242"/>
      <c r="G628" s="243"/>
      <c r="H628" s="244" t="s">
        <v>250</v>
      </c>
      <c r="I628" s="244"/>
      <c r="J628" s="161">
        <f>SUM(J572:J622)</f>
        <v>17102</v>
      </c>
      <c r="K628" s="245">
        <f>SUM(K572:K622)</f>
        <v>5472.64</v>
      </c>
      <c r="L628" s="246">
        <f>SUM(L572:L614)</f>
        <v>11629.359999999999</v>
      </c>
      <c r="M628" s="247">
        <f>SUM(M617:M626)</f>
        <v>5440</v>
      </c>
      <c r="N628" s="248"/>
    </row>
    <row r="629" spans="1:14" ht="13.5" thickBot="1" x14ac:dyDescent="0.25">
      <c r="A629" s="166"/>
      <c r="C629" s="168"/>
      <c r="D629" s="168"/>
      <c r="E629" s="169"/>
      <c r="F629" s="170"/>
      <c r="G629" s="171"/>
      <c r="H629" s="160" t="s">
        <v>13</v>
      </c>
      <c r="I629" s="314"/>
      <c r="J629" s="172"/>
      <c r="K629" s="173"/>
      <c r="L629" s="174"/>
      <c r="M629" s="174"/>
      <c r="N629" s="175">
        <f>+L628-M628+N571</f>
        <v>143227.96999999986</v>
      </c>
    </row>
    <row r="630" spans="1:14" x14ac:dyDescent="0.2">
      <c r="A630" s="166"/>
      <c r="C630" s="168"/>
      <c r="D630" s="168"/>
      <c r="E630" s="169"/>
      <c r="F630" s="170"/>
      <c r="G630" s="171"/>
      <c r="H630" s="171"/>
      <c r="I630" s="171"/>
      <c r="J630" s="189"/>
      <c r="K630" s="188"/>
      <c r="L630" s="180"/>
      <c r="M630" s="180"/>
      <c r="N630" s="189"/>
    </row>
    <row r="631" spans="1:14" x14ac:dyDescent="0.2">
      <c r="A631" s="527" t="s">
        <v>95</v>
      </c>
      <c r="B631" s="528"/>
      <c r="C631" s="528"/>
      <c r="D631" s="528"/>
      <c r="E631" s="528"/>
      <c r="F631" s="528"/>
      <c r="G631" s="528"/>
      <c r="H631" s="528"/>
      <c r="I631" s="528"/>
      <c r="J631" s="528"/>
      <c r="K631" s="528"/>
      <c r="L631" s="528"/>
      <c r="M631" s="528"/>
      <c r="N631" s="529"/>
    </row>
    <row r="632" spans="1:14" x14ac:dyDescent="0.2">
      <c r="A632" s="530"/>
      <c r="B632" s="531"/>
      <c r="C632" s="531"/>
      <c r="D632" s="531"/>
      <c r="E632" s="531"/>
      <c r="F632" s="531"/>
      <c r="G632" s="531"/>
      <c r="H632" s="531"/>
      <c r="I632" s="531"/>
      <c r="J632" s="531"/>
      <c r="K632" s="531"/>
      <c r="L632" s="531"/>
      <c r="M632" s="531"/>
      <c r="N632" s="532"/>
    </row>
    <row r="633" spans="1:14" ht="15" x14ac:dyDescent="0.25">
      <c r="A633" s="533" t="s">
        <v>431</v>
      </c>
      <c r="B633" s="534"/>
      <c r="C633" s="534"/>
      <c r="D633" s="534"/>
      <c r="E633" s="534"/>
      <c r="F633" s="534"/>
      <c r="G633" s="534"/>
      <c r="H633" s="534"/>
      <c r="I633" s="534"/>
      <c r="J633" s="534"/>
      <c r="K633" s="534"/>
      <c r="L633" s="534"/>
      <c r="M633" s="534"/>
      <c r="N633" s="534"/>
    </row>
    <row r="634" spans="1:14" x14ac:dyDescent="0.2">
      <c r="A634" s="115" t="s">
        <v>1</v>
      </c>
      <c r="B634" s="116" t="s">
        <v>2</v>
      </c>
      <c r="C634" s="117" t="s">
        <v>3</v>
      </c>
      <c r="D634" s="117" t="s">
        <v>4</v>
      </c>
      <c r="E634" s="117" t="s">
        <v>96</v>
      </c>
      <c r="F634" s="117" t="s">
        <v>5</v>
      </c>
      <c r="G634" s="118" t="s">
        <v>97</v>
      </c>
      <c r="H634" s="118" t="s">
        <v>6</v>
      </c>
      <c r="I634" s="118"/>
      <c r="J634" s="117" t="s">
        <v>7</v>
      </c>
      <c r="K634" s="117" t="s">
        <v>8</v>
      </c>
      <c r="L634" s="117" t="s">
        <v>9</v>
      </c>
      <c r="M634" s="119" t="s">
        <v>10</v>
      </c>
      <c r="N634" s="117" t="s">
        <v>11</v>
      </c>
    </row>
    <row r="635" spans="1:14" x14ac:dyDescent="0.2">
      <c r="A635" s="120"/>
      <c r="B635" s="121"/>
      <c r="C635" s="122"/>
      <c r="D635" s="122"/>
      <c r="E635" s="122"/>
      <c r="F635" s="122"/>
      <c r="G635" s="101"/>
      <c r="H635" s="123"/>
      <c r="I635" s="123"/>
      <c r="J635" s="124"/>
      <c r="K635" s="125"/>
      <c r="L635" s="125"/>
      <c r="M635" s="125"/>
      <c r="N635" s="124">
        <f>N629</f>
        <v>143227.96999999986</v>
      </c>
    </row>
    <row r="636" spans="1:14" ht="14.25" x14ac:dyDescent="0.2">
      <c r="A636" s="201">
        <v>43406</v>
      </c>
      <c r="B636" s="184" t="s">
        <v>432</v>
      </c>
      <c r="C636" s="126"/>
      <c r="D636" s="122"/>
      <c r="E636" s="122"/>
      <c r="F636" s="122"/>
      <c r="G636" s="126" t="s">
        <v>433</v>
      </c>
      <c r="H636" s="122"/>
      <c r="I636" s="122"/>
      <c r="J636" s="190">
        <v>164</v>
      </c>
      <c r="K636" s="182">
        <f>+J636*0.32</f>
        <v>52.480000000000004</v>
      </c>
      <c r="L636" s="182">
        <f>+J636*0.68</f>
        <v>111.52000000000001</v>
      </c>
      <c r="M636" s="128"/>
      <c r="N636" s="129">
        <f>+L636-M636+N635</f>
        <v>143339.48999999985</v>
      </c>
    </row>
    <row r="637" spans="1:14" ht="14.25" x14ac:dyDescent="0.2">
      <c r="A637" s="201">
        <v>43407</v>
      </c>
      <c r="B637" s="184" t="s">
        <v>432</v>
      </c>
      <c r="C637" s="126"/>
      <c r="D637" s="122"/>
      <c r="E637" s="122"/>
      <c r="F637" s="122"/>
      <c r="G637" s="126" t="s">
        <v>433</v>
      </c>
      <c r="H637" s="122"/>
      <c r="I637" s="122"/>
      <c r="J637" s="190">
        <v>208</v>
      </c>
      <c r="K637" s="182">
        <f t="shared" ref="K637:K666" si="32">+J637*0.32</f>
        <v>66.56</v>
      </c>
      <c r="L637" s="182">
        <f>+J637*0.68</f>
        <v>141.44</v>
      </c>
      <c r="M637" s="128"/>
      <c r="N637" s="129">
        <f t="shared" ref="N637:N687" si="33">+L637-M637+N636</f>
        <v>143480.92999999985</v>
      </c>
    </row>
    <row r="638" spans="1:14" ht="14.25" x14ac:dyDescent="0.2">
      <c r="A638" s="201">
        <v>43409</v>
      </c>
      <c r="B638" s="184" t="s">
        <v>432</v>
      </c>
      <c r="C638" s="126"/>
      <c r="D638" s="122"/>
      <c r="E638" s="183"/>
      <c r="F638" s="183"/>
      <c r="G638" s="126" t="s">
        <v>433</v>
      </c>
      <c r="H638" s="122"/>
      <c r="I638" s="122"/>
      <c r="J638" s="190">
        <v>308</v>
      </c>
      <c r="K638" s="182">
        <f t="shared" si="32"/>
        <v>98.56</v>
      </c>
      <c r="L638" s="182">
        <f t="shared" ref="L638:L672" si="34">+J638*0.68</f>
        <v>209.44000000000003</v>
      </c>
      <c r="M638" s="128"/>
      <c r="N638" s="129">
        <f t="shared" si="33"/>
        <v>143690.36999999985</v>
      </c>
    </row>
    <row r="639" spans="1:14" ht="14.25" x14ac:dyDescent="0.2">
      <c r="A639" s="201">
        <v>43411</v>
      </c>
      <c r="B639" s="184" t="s">
        <v>432</v>
      </c>
      <c r="C639" s="126"/>
      <c r="D639" s="122"/>
      <c r="E639" s="122"/>
      <c r="F639" s="122"/>
      <c r="G639" s="126" t="s">
        <v>433</v>
      </c>
      <c r="H639" s="122"/>
      <c r="I639" s="122"/>
      <c r="J639" s="190">
        <v>164</v>
      </c>
      <c r="K639" s="182">
        <f t="shared" si="32"/>
        <v>52.480000000000004</v>
      </c>
      <c r="L639" s="182">
        <f t="shared" si="34"/>
        <v>111.52000000000001</v>
      </c>
      <c r="M639" s="128"/>
      <c r="N639" s="129">
        <f t="shared" si="33"/>
        <v>143801.88999999984</v>
      </c>
    </row>
    <row r="640" spans="1:14" ht="14.25" x14ac:dyDescent="0.2">
      <c r="A640" s="201">
        <v>43413</v>
      </c>
      <c r="B640" s="184" t="s">
        <v>432</v>
      </c>
      <c r="C640" s="126"/>
      <c r="D640" s="122"/>
      <c r="E640" s="122"/>
      <c r="F640" s="122"/>
      <c r="G640" s="126" t="s">
        <v>433</v>
      </c>
      <c r="H640" s="122"/>
      <c r="I640" s="122"/>
      <c r="J640" s="190">
        <v>244</v>
      </c>
      <c r="K640" s="182">
        <f t="shared" si="32"/>
        <v>78.08</v>
      </c>
      <c r="L640" s="182">
        <f t="shared" si="34"/>
        <v>165.92000000000002</v>
      </c>
      <c r="M640" s="128"/>
      <c r="N640" s="129">
        <f t="shared" si="33"/>
        <v>143967.80999999985</v>
      </c>
    </row>
    <row r="641" spans="1:14" ht="14.25" x14ac:dyDescent="0.2">
      <c r="A641" s="201">
        <v>43416</v>
      </c>
      <c r="B641" s="184" t="s">
        <v>432</v>
      </c>
      <c r="C641" s="126"/>
      <c r="D641" s="122"/>
      <c r="E641" s="122"/>
      <c r="F641" s="122"/>
      <c r="G641" s="126" t="s">
        <v>433</v>
      </c>
      <c r="H641" s="122"/>
      <c r="I641" s="122"/>
      <c r="J641" s="203">
        <v>1068</v>
      </c>
      <c r="K641" s="182">
        <f t="shared" si="32"/>
        <v>341.76</v>
      </c>
      <c r="L641" s="182">
        <f t="shared" si="34"/>
        <v>726.24</v>
      </c>
      <c r="M641" s="128"/>
      <c r="N641" s="129">
        <f t="shared" si="33"/>
        <v>144694.04999999984</v>
      </c>
    </row>
    <row r="642" spans="1:14" ht="14.25" x14ac:dyDescent="0.2">
      <c r="A642" s="201">
        <v>43417</v>
      </c>
      <c r="B642" s="184" t="s">
        <v>432</v>
      </c>
      <c r="C642" s="126"/>
      <c r="D642" s="122"/>
      <c r="E642" s="122"/>
      <c r="F642" s="122"/>
      <c r="G642" s="126" t="s">
        <v>433</v>
      </c>
      <c r="H642" s="122"/>
      <c r="I642" s="122"/>
      <c r="J642" s="203">
        <v>164</v>
      </c>
      <c r="K642" s="182">
        <f t="shared" si="32"/>
        <v>52.480000000000004</v>
      </c>
      <c r="L642" s="182">
        <f t="shared" si="34"/>
        <v>111.52000000000001</v>
      </c>
      <c r="M642" s="128"/>
      <c r="N642" s="129">
        <f t="shared" si="33"/>
        <v>144805.56999999983</v>
      </c>
    </row>
    <row r="643" spans="1:14" ht="14.25" x14ac:dyDescent="0.2">
      <c r="A643" s="201">
        <v>43418</v>
      </c>
      <c r="B643" s="184"/>
      <c r="C643" s="126"/>
      <c r="D643" s="122"/>
      <c r="E643" s="122"/>
      <c r="F643" s="122"/>
      <c r="G643" s="126" t="s">
        <v>434</v>
      </c>
      <c r="H643" s="122"/>
      <c r="I643" s="122"/>
      <c r="J643" s="203">
        <v>452</v>
      </c>
      <c r="K643" s="182">
        <f t="shared" si="32"/>
        <v>144.64000000000001</v>
      </c>
      <c r="L643" s="182">
        <f t="shared" si="34"/>
        <v>307.36</v>
      </c>
      <c r="M643" s="128"/>
      <c r="N643" s="129">
        <f t="shared" si="33"/>
        <v>145112.92999999982</v>
      </c>
    </row>
    <row r="644" spans="1:14" ht="14.25" x14ac:dyDescent="0.2">
      <c r="A644" s="201">
        <v>43420</v>
      </c>
      <c r="B644" s="184"/>
      <c r="C644" s="126"/>
      <c r="D644" s="122"/>
      <c r="E644" s="122"/>
      <c r="F644" s="122"/>
      <c r="G644" s="126" t="s">
        <v>434</v>
      </c>
      <c r="H644" s="122"/>
      <c r="I644" s="122"/>
      <c r="J644" s="203">
        <v>190</v>
      </c>
      <c r="K644" s="182">
        <f t="shared" si="32"/>
        <v>60.800000000000004</v>
      </c>
      <c r="L644" s="182">
        <f t="shared" si="34"/>
        <v>129.20000000000002</v>
      </c>
      <c r="M644" s="128"/>
      <c r="N644" s="129">
        <f t="shared" si="33"/>
        <v>145242.12999999983</v>
      </c>
    </row>
    <row r="645" spans="1:14" ht="14.25" x14ac:dyDescent="0.2">
      <c r="A645" s="201">
        <v>43423</v>
      </c>
      <c r="B645" s="184"/>
      <c r="C645" s="126"/>
      <c r="D645" s="122"/>
      <c r="E645" s="122"/>
      <c r="F645" s="122"/>
      <c r="G645" s="126" t="s">
        <v>434</v>
      </c>
      <c r="H645" s="122"/>
      <c r="I645" s="122"/>
      <c r="J645" s="203">
        <v>576</v>
      </c>
      <c r="K645" s="182">
        <f t="shared" si="32"/>
        <v>184.32</v>
      </c>
      <c r="L645" s="182">
        <f t="shared" si="34"/>
        <v>391.68</v>
      </c>
      <c r="M645" s="128"/>
      <c r="N645" s="129">
        <f t="shared" si="33"/>
        <v>145633.80999999982</v>
      </c>
    </row>
    <row r="646" spans="1:14" ht="14.25" x14ac:dyDescent="0.2">
      <c r="A646" s="201">
        <v>43424</v>
      </c>
      <c r="B646" s="184"/>
      <c r="C646" s="126"/>
      <c r="D646" s="135"/>
      <c r="E646" s="122"/>
      <c r="F646" s="122"/>
      <c r="G646" s="126" t="s">
        <v>434</v>
      </c>
      <c r="H646" s="135"/>
      <c r="I646" s="135"/>
      <c r="J646" s="203">
        <v>144</v>
      </c>
      <c r="K646" s="182">
        <f t="shared" si="32"/>
        <v>46.08</v>
      </c>
      <c r="L646" s="182">
        <f t="shared" si="34"/>
        <v>97.92</v>
      </c>
      <c r="M646" s="128"/>
      <c r="N646" s="129">
        <f t="shared" si="33"/>
        <v>145731.72999999984</v>
      </c>
    </row>
    <row r="647" spans="1:14" ht="14.25" x14ac:dyDescent="0.2">
      <c r="A647" s="201">
        <v>43427</v>
      </c>
      <c r="B647" s="184"/>
      <c r="C647" s="126"/>
      <c r="D647" s="135"/>
      <c r="E647" s="122"/>
      <c r="F647" s="122"/>
      <c r="G647" s="126" t="s">
        <v>434</v>
      </c>
      <c r="H647" s="135"/>
      <c r="I647" s="135"/>
      <c r="J647" s="203">
        <v>308</v>
      </c>
      <c r="K647" s="182">
        <f t="shared" si="32"/>
        <v>98.56</v>
      </c>
      <c r="L647" s="182">
        <f t="shared" si="34"/>
        <v>209.44000000000003</v>
      </c>
      <c r="M647" s="128"/>
      <c r="N647" s="129">
        <f t="shared" si="33"/>
        <v>145941.16999999984</v>
      </c>
    </row>
    <row r="648" spans="1:14" ht="14.25" x14ac:dyDescent="0.2">
      <c r="A648" s="201">
        <v>43428</v>
      </c>
      <c r="B648" s="184"/>
      <c r="C648" s="126"/>
      <c r="D648" s="135"/>
      <c r="E648" s="122"/>
      <c r="F648" s="122"/>
      <c r="G648" s="126" t="s">
        <v>434</v>
      </c>
      <c r="H648" s="135"/>
      <c r="I648" s="135"/>
      <c r="J648" s="203">
        <v>308</v>
      </c>
      <c r="K648" s="182">
        <f t="shared" si="32"/>
        <v>98.56</v>
      </c>
      <c r="L648" s="182">
        <f t="shared" si="34"/>
        <v>209.44000000000003</v>
      </c>
      <c r="M648" s="128"/>
      <c r="N648" s="129">
        <f t="shared" si="33"/>
        <v>146150.60999999984</v>
      </c>
    </row>
    <row r="649" spans="1:14" ht="14.25" x14ac:dyDescent="0.2">
      <c r="A649" s="201">
        <v>43774</v>
      </c>
      <c r="B649" s="184"/>
      <c r="C649" s="126"/>
      <c r="D649" s="135"/>
      <c r="E649" s="122"/>
      <c r="F649" s="122"/>
      <c r="G649" s="126"/>
      <c r="H649" s="135"/>
      <c r="I649" s="135"/>
      <c r="J649" s="203">
        <v>800</v>
      </c>
      <c r="K649" s="182">
        <f t="shared" si="32"/>
        <v>256</v>
      </c>
      <c r="L649" s="182">
        <f t="shared" si="34"/>
        <v>544</v>
      </c>
      <c r="M649" s="128"/>
      <c r="N649" s="129">
        <f t="shared" si="33"/>
        <v>146694.60999999984</v>
      </c>
    </row>
    <row r="650" spans="1:14" ht="14.25" x14ac:dyDescent="0.2">
      <c r="A650" s="201">
        <v>43776</v>
      </c>
      <c r="B650" s="184"/>
      <c r="C650" s="126"/>
      <c r="D650" s="135"/>
      <c r="E650" s="122"/>
      <c r="F650" s="122"/>
      <c r="G650" s="126"/>
      <c r="H650" s="135"/>
      <c r="I650" s="135"/>
      <c r="J650" s="203">
        <v>558</v>
      </c>
      <c r="K650" s="182">
        <f t="shared" si="32"/>
        <v>178.56</v>
      </c>
      <c r="L650" s="182">
        <f t="shared" si="34"/>
        <v>379.44000000000005</v>
      </c>
      <c r="M650" s="128"/>
      <c r="N650" s="129">
        <f t="shared" si="33"/>
        <v>147074.04999999984</v>
      </c>
    </row>
    <row r="651" spans="1:14" ht="14.25" x14ac:dyDescent="0.2">
      <c r="A651" s="201">
        <v>43777</v>
      </c>
      <c r="B651" s="184"/>
      <c r="C651" s="126"/>
      <c r="D651" s="135"/>
      <c r="E651" s="122"/>
      <c r="F651" s="122"/>
      <c r="G651" s="126"/>
      <c r="H651" s="135"/>
      <c r="I651" s="135"/>
      <c r="J651" s="203">
        <v>108</v>
      </c>
      <c r="K651" s="182">
        <f t="shared" si="32"/>
        <v>34.56</v>
      </c>
      <c r="L651" s="182">
        <f t="shared" si="34"/>
        <v>73.440000000000012</v>
      </c>
      <c r="M651" s="128"/>
      <c r="N651" s="129">
        <f t="shared" si="33"/>
        <v>147147.48999999985</v>
      </c>
    </row>
    <row r="652" spans="1:14" ht="14.25" x14ac:dyDescent="0.2">
      <c r="A652" s="201">
        <v>43778</v>
      </c>
      <c r="B652" s="184"/>
      <c r="C652" s="126"/>
      <c r="D652" s="135"/>
      <c r="E652" s="122"/>
      <c r="F652" s="122"/>
      <c r="G652" s="126"/>
      <c r="H652" s="135"/>
      <c r="I652" s="135"/>
      <c r="J652" s="203">
        <v>840</v>
      </c>
      <c r="K652" s="182">
        <f t="shared" si="32"/>
        <v>268.8</v>
      </c>
      <c r="L652" s="182">
        <f t="shared" si="34"/>
        <v>571.20000000000005</v>
      </c>
      <c r="M652" s="128"/>
      <c r="N652" s="129">
        <f t="shared" si="33"/>
        <v>147718.68999999986</v>
      </c>
    </row>
    <row r="653" spans="1:14" ht="14.25" x14ac:dyDescent="0.2">
      <c r="A653" s="201">
        <v>43781</v>
      </c>
      <c r="B653" s="184"/>
      <c r="C653" s="126"/>
      <c r="D653" s="135"/>
      <c r="E653" s="122"/>
      <c r="F653" s="122"/>
      <c r="G653" s="126"/>
      <c r="H653" s="135"/>
      <c r="I653" s="135"/>
      <c r="J653" s="203">
        <v>608</v>
      </c>
      <c r="K653" s="182">
        <f t="shared" si="32"/>
        <v>194.56</v>
      </c>
      <c r="L653" s="182">
        <f t="shared" si="34"/>
        <v>413.44000000000005</v>
      </c>
      <c r="M653" s="128"/>
      <c r="N653" s="129">
        <f t="shared" si="33"/>
        <v>148132.12999999986</v>
      </c>
    </row>
    <row r="654" spans="1:14" ht="14.25" x14ac:dyDescent="0.2">
      <c r="A654" s="201">
        <v>43782</v>
      </c>
      <c r="B654" s="184"/>
      <c r="C654" s="126"/>
      <c r="D654" s="135"/>
      <c r="E654" s="122"/>
      <c r="F654" s="122"/>
      <c r="G654" s="126"/>
      <c r="H654" s="135"/>
      <c r="I654" s="135"/>
      <c r="J654" s="203">
        <v>930</v>
      </c>
      <c r="K654" s="182">
        <f t="shared" si="32"/>
        <v>297.60000000000002</v>
      </c>
      <c r="L654" s="182">
        <f t="shared" si="34"/>
        <v>632.40000000000009</v>
      </c>
      <c r="M654" s="128"/>
      <c r="N654" s="129">
        <f t="shared" si="33"/>
        <v>148764.52999999985</v>
      </c>
    </row>
    <row r="655" spans="1:14" ht="14.25" x14ac:dyDescent="0.2">
      <c r="A655" s="201">
        <v>43783</v>
      </c>
      <c r="B655" s="184"/>
      <c r="C655" s="126"/>
      <c r="D655" s="135"/>
      <c r="E655" s="122"/>
      <c r="F655" s="122"/>
      <c r="G655" s="126"/>
      <c r="H655" s="135"/>
      <c r="I655" s="135"/>
      <c r="J655" s="203">
        <v>596</v>
      </c>
      <c r="K655" s="182">
        <f t="shared" si="32"/>
        <v>190.72</v>
      </c>
      <c r="L655" s="182">
        <f t="shared" si="34"/>
        <v>405.28000000000003</v>
      </c>
      <c r="M655" s="128"/>
      <c r="N655" s="129">
        <f t="shared" si="33"/>
        <v>149169.80999999985</v>
      </c>
    </row>
    <row r="656" spans="1:14" ht="14.25" x14ac:dyDescent="0.2">
      <c r="A656" s="201">
        <v>43784</v>
      </c>
      <c r="B656" s="184"/>
      <c r="C656" s="126"/>
      <c r="D656" s="135"/>
      <c r="E656" s="122"/>
      <c r="F656" s="122"/>
      <c r="G656" s="126"/>
      <c r="H656" s="135"/>
      <c r="I656" s="135"/>
      <c r="J656" s="203">
        <v>630</v>
      </c>
      <c r="K656" s="182">
        <f t="shared" si="32"/>
        <v>201.6</v>
      </c>
      <c r="L656" s="182">
        <f t="shared" si="34"/>
        <v>428.40000000000003</v>
      </c>
      <c r="M656" s="128"/>
      <c r="N656" s="129">
        <f t="shared" si="33"/>
        <v>149598.20999999985</v>
      </c>
    </row>
    <row r="657" spans="1:14" ht="14.25" x14ac:dyDescent="0.2">
      <c r="A657" s="201">
        <v>43785</v>
      </c>
      <c r="B657" s="184"/>
      <c r="C657" s="126"/>
      <c r="D657" s="135"/>
      <c r="E657" s="122"/>
      <c r="F657" s="122"/>
      <c r="G657" s="126"/>
      <c r="H657" s="135"/>
      <c r="I657" s="135"/>
      <c r="J657" s="203">
        <v>308</v>
      </c>
      <c r="K657" s="182">
        <f t="shared" si="32"/>
        <v>98.56</v>
      </c>
      <c r="L657" s="182">
        <f t="shared" si="34"/>
        <v>209.44000000000003</v>
      </c>
      <c r="M657" s="128"/>
      <c r="N657" s="129">
        <f t="shared" si="33"/>
        <v>149807.64999999985</v>
      </c>
    </row>
    <row r="658" spans="1:14" ht="14.25" x14ac:dyDescent="0.2">
      <c r="A658" s="201">
        <v>43788</v>
      </c>
      <c r="B658" s="184"/>
      <c r="C658" s="126"/>
      <c r="D658" s="135"/>
      <c r="E658" s="122"/>
      <c r="F658" s="122"/>
      <c r="G658" s="126"/>
      <c r="H658" s="135"/>
      <c r="I658" s="135"/>
      <c r="J658" s="203">
        <v>800</v>
      </c>
      <c r="K658" s="182">
        <f t="shared" si="32"/>
        <v>256</v>
      </c>
      <c r="L658" s="182">
        <f t="shared" si="34"/>
        <v>544</v>
      </c>
      <c r="M658" s="128"/>
      <c r="N658" s="129">
        <f t="shared" si="33"/>
        <v>150351.64999999985</v>
      </c>
    </row>
    <row r="659" spans="1:14" ht="14.25" x14ac:dyDescent="0.2">
      <c r="A659" s="201">
        <v>43789</v>
      </c>
      <c r="B659" s="184"/>
      <c r="C659" s="126"/>
      <c r="D659" s="135"/>
      <c r="E659" s="122"/>
      <c r="F659" s="122"/>
      <c r="G659" s="126"/>
      <c r="H659" s="135"/>
      <c r="I659" s="135"/>
      <c r="J659" s="203">
        <v>1049.9000000000001</v>
      </c>
      <c r="K659" s="182">
        <f t="shared" si="32"/>
        <v>335.96800000000002</v>
      </c>
      <c r="L659" s="182">
        <f t="shared" si="34"/>
        <v>713.93200000000013</v>
      </c>
      <c r="M659" s="128"/>
      <c r="N659" s="129">
        <f t="shared" si="33"/>
        <v>151065.58199999985</v>
      </c>
    </row>
    <row r="660" spans="1:14" ht="14.25" x14ac:dyDescent="0.2">
      <c r="A660" s="201">
        <v>43790</v>
      </c>
      <c r="B660" s="184"/>
      <c r="C660" s="126"/>
      <c r="D660" s="135"/>
      <c r="E660" s="122"/>
      <c r="F660" s="122"/>
      <c r="G660" s="126"/>
      <c r="H660" s="135"/>
      <c r="I660" s="135"/>
      <c r="J660" s="203">
        <v>616</v>
      </c>
      <c r="K660" s="182">
        <f t="shared" si="32"/>
        <v>197.12</v>
      </c>
      <c r="L660" s="182">
        <f t="shared" si="34"/>
        <v>418.88000000000005</v>
      </c>
      <c r="M660" s="128"/>
      <c r="N660" s="129">
        <f t="shared" si="33"/>
        <v>151484.46199999985</v>
      </c>
    </row>
    <row r="661" spans="1:14" ht="14.25" x14ac:dyDescent="0.2">
      <c r="A661" s="201">
        <v>43792</v>
      </c>
      <c r="B661" s="184"/>
      <c r="C661" s="126"/>
      <c r="D661" s="135"/>
      <c r="E661" s="122"/>
      <c r="F661" s="122"/>
      <c r="G661" s="126"/>
      <c r="H661" s="135"/>
      <c r="I661" s="135"/>
      <c r="J661" s="203">
        <v>20</v>
      </c>
      <c r="K661" s="182">
        <f t="shared" si="32"/>
        <v>6.4</v>
      </c>
      <c r="L661" s="182">
        <f t="shared" si="34"/>
        <v>13.600000000000001</v>
      </c>
      <c r="M661" s="128"/>
      <c r="N661" s="129">
        <f t="shared" si="33"/>
        <v>151498.06199999986</v>
      </c>
    </row>
    <row r="662" spans="1:14" ht="14.25" x14ac:dyDescent="0.2">
      <c r="A662" s="201">
        <v>43795</v>
      </c>
      <c r="B662" s="184"/>
      <c r="C662" s="126"/>
      <c r="D662" s="135"/>
      <c r="E662" s="122"/>
      <c r="F662" s="122"/>
      <c r="G662" s="126"/>
      <c r="H662" s="135"/>
      <c r="I662" s="135"/>
      <c r="J662" s="203">
        <v>944</v>
      </c>
      <c r="K662" s="182">
        <f t="shared" si="32"/>
        <v>302.08</v>
      </c>
      <c r="L662" s="182">
        <f t="shared" si="34"/>
        <v>641.92000000000007</v>
      </c>
      <c r="M662" s="128"/>
      <c r="N662" s="129">
        <f t="shared" si="33"/>
        <v>152139.98199999987</v>
      </c>
    </row>
    <row r="663" spans="1:14" ht="14.25" x14ac:dyDescent="0.2">
      <c r="A663" s="201">
        <v>43796</v>
      </c>
      <c r="B663" s="184"/>
      <c r="C663" s="126"/>
      <c r="D663" s="135"/>
      <c r="E663" s="122"/>
      <c r="F663" s="122"/>
      <c r="G663" s="126"/>
      <c r="H663" s="135"/>
      <c r="I663" s="135"/>
      <c r="J663" s="203">
        <v>816</v>
      </c>
      <c r="K663" s="182">
        <f t="shared" si="32"/>
        <v>261.12</v>
      </c>
      <c r="L663" s="182">
        <f t="shared" si="34"/>
        <v>554.88</v>
      </c>
      <c r="M663" s="128"/>
      <c r="N663" s="129">
        <f t="shared" si="33"/>
        <v>152694.86199999988</v>
      </c>
    </row>
    <row r="664" spans="1:14" ht="14.25" x14ac:dyDescent="0.2">
      <c r="A664" s="201">
        <v>43797</v>
      </c>
      <c r="B664" s="184"/>
      <c r="C664" s="126"/>
      <c r="D664" s="135"/>
      <c r="E664" s="122"/>
      <c r="F664" s="122"/>
      <c r="G664" s="126"/>
      <c r="H664" s="135"/>
      <c r="I664" s="135"/>
      <c r="J664" s="203">
        <v>318</v>
      </c>
      <c r="K664" s="182">
        <f t="shared" si="32"/>
        <v>101.76</v>
      </c>
      <c r="L664" s="182">
        <f t="shared" si="34"/>
        <v>216.24</v>
      </c>
      <c r="M664" s="128"/>
      <c r="N664" s="129">
        <f t="shared" si="33"/>
        <v>152911.10199999987</v>
      </c>
    </row>
    <row r="665" spans="1:14" ht="14.25" x14ac:dyDescent="0.2">
      <c r="A665" s="201">
        <v>43798</v>
      </c>
      <c r="B665" s="184"/>
      <c r="C665" s="126"/>
      <c r="D665" s="135"/>
      <c r="E665" s="122"/>
      <c r="F665" s="122"/>
      <c r="G665" s="126"/>
      <c r="H665" s="135"/>
      <c r="I665" s="135"/>
      <c r="J665" s="203">
        <v>452</v>
      </c>
      <c r="K665" s="182">
        <f t="shared" si="32"/>
        <v>144.64000000000001</v>
      </c>
      <c r="L665" s="182">
        <f t="shared" si="34"/>
        <v>307.36</v>
      </c>
      <c r="M665" s="128"/>
      <c r="N665" s="129">
        <f t="shared" si="33"/>
        <v>153218.46199999985</v>
      </c>
    </row>
    <row r="666" spans="1:14" ht="14.25" x14ac:dyDescent="0.2">
      <c r="A666" s="201">
        <v>43799</v>
      </c>
      <c r="B666" s="184"/>
      <c r="C666" s="126"/>
      <c r="D666" s="135"/>
      <c r="E666" s="122"/>
      <c r="F666" s="122"/>
      <c r="G666" s="126"/>
      <c r="H666" s="135"/>
      <c r="I666" s="135"/>
      <c r="J666" s="203">
        <v>168</v>
      </c>
      <c r="K666" s="182">
        <f t="shared" si="32"/>
        <v>53.76</v>
      </c>
      <c r="L666" s="182">
        <f t="shared" si="34"/>
        <v>114.24000000000001</v>
      </c>
      <c r="M666" s="128"/>
      <c r="N666" s="129">
        <f t="shared" si="33"/>
        <v>153332.70199999984</v>
      </c>
    </row>
    <row r="667" spans="1:14" ht="14.25" x14ac:dyDescent="0.2">
      <c r="A667" s="201"/>
      <c r="B667" s="184"/>
      <c r="C667" s="126"/>
      <c r="D667" s="135"/>
      <c r="E667" s="122"/>
      <c r="F667" s="122"/>
      <c r="G667" s="126"/>
      <c r="H667" s="135"/>
      <c r="I667" s="135"/>
      <c r="J667" s="203"/>
      <c r="K667" s="182"/>
      <c r="L667" s="182"/>
      <c r="M667" s="128"/>
      <c r="N667" s="129">
        <f t="shared" si="33"/>
        <v>153332.70199999984</v>
      </c>
    </row>
    <row r="668" spans="1:14" ht="14.25" x14ac:dyDescent="0.2">
      <c r="A668" s="201"/>
      <c r="B668" s="184"/>
      <c r="C668" s="126"/>
      <c r="D668" s="135"/>
      <c r="E668" s="122"/>
      <c r="F668" s="122"/>
      <c r="G668" s="126"/>
      <c r="H668" s="135"/>
      <c r="I668" s="135"/>
      <c r="J668" s="203"/>
      <c r="K668" s="182"/>
      <c r="L668" s="182">
        <f t="shared" si="34"/>
        <v>0</v>
      </c>
      <c r="M668" s="128"/>
      <c r="N668" s="129">
        <f t="shared" si="33"/>
        <v>153332.70199999984</v>
      </c>
    </row>
    <row r="669" spans="1:14" ht="14.25" x14ac:dyDescent="0.2">
      <c r="A669" s="201"/>
      <c r="B669" s="184"/>
      <c r="C669" s="126"/>
      <c r="D669" s="135"/>
      <c r="E669" s="122"/>
      <c r="F669" s="122"/>
      <c r="G669" s="126"/>
      <c r="H669" s="135"/>
      <c r="I669" s="135"/>
      <c r="J669" s="203"/>
      <c r="K669" s="182"/>
      <c r="L669" s="182">
        <f t="shared" si="34"/>
        <v>0</v>
      </c>
      <c r="M669" s="128"/>
      <c r="N669" s="129">
        <f t="shared" si="33"/>
        <v>153332.70199999984</v>
      </c>
    </row>
    <row r="670" spans="1:14" ht="14.25" x14ac:dyDescent="0.2">
      <c r="A670" s="201"/>
      <c r="B670" s="184"/>
      <c r="C670" s="126"/>
      <c r="D670" s="135"/>
      <c r="E670" s="122"/>
      <c r="F670" s="122"/>
      <c r="G670" s="126"/>
      <c r="H670" s="135"/>
      <c r="I670" s="135"/>
      <c r="J670" s="203"/>
      <c r="K670" s="182"/>
      <c r="L670" s="182">
        <f t="shared" si="34"/>
        <v>0</v>
      </c>
      <c r="M670" s="128"/>
      <c r="N670" s="129">
        <f t="shared" si="33"/>
        <v>153332.70199999984</v>
      </c>
    </row>
    <row r="671" spans="1:14" ht="14.25" x14ac:dyDescent="0.2">
      <c r="A671" s="201"/>
      <c r="B671" s="184"/>
      <c r="C671" s="126"/>
      <c r="D671" s="135"/>
      <c r="E671" s="122"/>
      <c r="F671" s="122"/>
      <c r="G671" s="126"/>
      <c r="H671" s="135"/>
      <c r="I671" s="135"/>
      <c r="J671" s="203"/>
      <c r="K671" s="182"/>
      <c r="L671" s="182">
        <f t="shared" si="34"/>
        <v>0</v>
      </c>
      <c r="M671" s="128"/>
      <c r="N671" s="129">
        <f t="shared" si="33"/>
        <v>153332.70199999984</v>
      </c>
    </row>
    <row r="672" spans="1:14" ht="14.25" x14ac:dyDescent="0.2">
      <c r="A672" s="201"/>
      <c r="B672" s="184"/>
      <c r="C672" s="126"/>
      <c r="D672" s="135"/>
      <c r="E672" s="122"/>
      <c r="F672" s="122"/>
      <c r="G672" s="126"/>
      <c r="H672" s="135"/>
      <c r="I672" s="135"/>
      <c r="J672" s="203"/>
      <c r="K672" s="182"/>
      <c r="L672" s="182">
        <f t="shared" si="34"/>
        <v>0</v>
      </c>
      <c r="M672" s="128"/>
      <c r="N672" s="129">
        <f t="shared" si="33"/>
        <v>153332.70199999984</v>
      </c>
    </row>
    <row r="673" spans="1:14" x14ac:dyDescent="0.2">
      <c r="A673" s="131"/>
      <c r="B673" s="212"/>
      <c r="C673" s="122"/>
      <c r="D673" s="122"/>
      <c r="F673" s="122"/>
      <c r="G673" s="133"/>
      <c r="H673" s="123"/>
      <c r="I673" s="123"/>
      <c r="J673" s="127"/>
      <c r="K673" s="128"/>
      <c r="L673" s="128"/>
      <c r="M673" s="128"/>
      <c r="N673" s="129">
        <f t="shared" si="33"/>
        <v>153332.70199999984</v>
      </c>
    </row>
    <row r="674" spans="1:14" ht="15" x14ac:dyDescent="0.25">
      <c r="A674" s="533" t="s">
        <v>408</v>
      </c>
      <c r="B674" s="534"/>
      <c r="C674" s="534"/>
      <c r="D674" s="534"/>
      <c r="E674" s="534"/>
      <c r="F674" s="534"/>
      <c r="G674" s="534"/>
      <c r="H674" s="534"/>
      <c r="I674" s="534"/>
      <c r="J674" s="534"/>
      <c r="K674" s="534"/>
      <c r="L674" s="534"/>
      <c r="M674" s="534"/>
      <c r="N674" s="129">
        <f t="shared" si="33"/>
        <v>153332.70199999984</v>
      </c>
    </row>
    <row r="675" spans="1:14" ht="15" x14ac:dyDescent="0.25">
      <c r="A675" s="213">
        <v>43432</v>
      </c>
      <c r="B675" s="216"/>
      <c r="C675" s="216"/>
      <c r="D675" s="216"/>
      <c r="E675" s="216"/>
      <c r="F675" s="216" t="s">
        <v>435</v>
      </c>
      <c r="G675" s="147" t="s">
        <v>436</v>
      </c>
      <c r="J675" s="216"/>
      <c r="K675" s="216"/>
      <c r="L675" s="216"/>
      <c r="M675" s="129">
        <v>1700</v>
      </c>
      <c r="N675" s="129">
        <f t="shared" si="33"/>
        <v>151632.70199999984</v>
      </c>
    </row>
    <row r="676" spans="1:14" x14ac:dyDescent="0.2">
      <c r="A676" s="131"/>
      <c r="B676" s="132"/>
      <c r="C676" s="122"/>
      <c r="D676" s="122"/>
      <c r="E676" s="122"/>
      <c r="F676" s="122"/>
      <c r="G676" s="147" t="s">
        <v>437</v>
      </c>
      <c r="H676" s="123"/>
      <c r="I676" s="123"/>
      <c r="J676" s="127"/>
      <c r="K676" s="128"/>
      <c r="L676" s="128"/>
      <c r="M676" s="129">
        <v>950</v>
      </c>
      <c r="N676" s="129">
        <f t="shared" si="33"/>
        <v>150682.70199999984</v>
      </c>
    </row>
    <row r="677" spans="1:14" x14ac:dyDescent="0.2">
      <c r="A677" s="185"/>
      <c r="B677" s="132"/>
      <c r="C677" s="122"/>
      <c r="D677" s="122"/>
      <c r="E677" s="122"/>
      <c r="F677" s="146"/>
      <c r="G677" s="147" t="s">
        <v>438</v>
      </c>
      <c r="H677" s="148"/>
      <c r="I677" s="148"/>
      <c r="J677" s="127"/>
      <c r="K677" s="128"/>
      <c r="L677" s="128"/>
      <c r="M677" s="149">
        <v>850</v>
      </c>
      <c r="N677" s="129">
        <f t="shared" si="33"/>
        <v>149832.70199999984</v>
      </c>
    </row>
    <row r="678" spans="1:14" x14ac:dyDescent="0.2">
      <c r="A678" s="185">
        <v>43432</v>
      </c>
      <c r="B678" s="132"/>
      <c r="C678" s="122"/>
      <c r="D678" s="122"/>
      <c r="E678" s="122"/>
      <c r="F678" s="146" t="s">
        <v>439</v>
      </c>
      <c r="G678" s="147" t="s">
        <v>440</v>
      </c>
      <c r="H678" s="148"/>
      <c r="I678" s="148"/>
      <c r="J678" s="127"/>
      <c r="K678" s="128"/>
      <c r="L678" s="128"/>
      <c r="M678" s="149"/>
      <c r="N678" s="129">
        <f t="shared" si="33"/>
        <v>149832.70199999984</v>
      </c>
    </row>
    <row r="679" spans="1:14" s="312" customFormat="1" x14ac:dyDescent="0.2">
      <c r="A679" s="331"/>
      <c r="B679" s="629"/>
      <c r="C679" s="630"/>
      <c r="D679" s="304"/>
      <c r="E679" s="304"/>
      <c r="F679" s="305"/>
      <c r="G679" s="306" t="s">
        <v>441</v>
      </c>
      <c r="H679" s="329"/>
      <c r="I679" s="308">
        <v>1100</v>
      </c>
      <c r="J679" s="309"/>
      <c r="K679" s="310"/>
      <c r="L679" s="310"/>
      <c r="M679" s="308">
        <v>0</v>
      </c>
      <c r="N679" s="311">
        <f t="shared" si="33"/>
        <v>149832.70199999984</v>
      </c>
    </row>
    <row r="680" spans="1:14" s="312" customFormat="1" x14ac:dyDescent="0.2">
      <c r="A680" s="331"/>
      <c r="B680" s="629"/>
      <c r="C680" s="630"/>
      <c r="D680" s="304"/>
      <c r="E680" s="304"/>
      <c r="F680" s="338"/>
      <c r="G680" s="306" t="s">
        <v>442</v>
      </c>
      <c r="H680" s="329"/>
      <c r="I680" s="308">
        <v>1100</v>
      </c>
      <c r="J680" s="309"/>
      <c r="K680" s="310"/>
      <c r="L680" s="310"/>
      <c r="M680" s="308">
        <v>0</v>
      </c>
      <c r="N680" s="311">
        <f t="shared" si="33"/>
        <v>149832.70199999984</v>
      </c>
    </row>
    <row r="681" spans="1:14" x14ac:dyDescent="0.2">
      <c r="A681" s="219">
        <v>43432</v>
      </c>
      <c r="B681" s="261"/>
      <c r="C681" s="223"/>
      <c r="D681" s="223"/>
      <c r="E681" s="223"/>
      <c r="F681" s="223" t="s">
        <v>443</v>
      </c>
      <c r="G681" s="133" t="s">
        <v>444</v>
      </c>
      <c r="H681" s="225"/>
      <c r="I681" s="234"/>
      <c r="J681" s="226"/>
      <c r="K681" s="227"/>
      <c r="L681" s="228"/>
      <c r="M681" s="229">
        <v>300</v>
      </c>
      <c r="N681" s="129">
        <f t="shared" si="33"/>
        <v>149532.70199999984</v>
      </c>
    </row>
    <row r="682" spans="1:14" x14ac:dyDescent="0.2">
      <c r="A682" s="131">
        <v>43434</v>
      </c>
      <c r="B682" s="523"/>
      <c r="C682" s="524"/>
      <c r="D682" s="122"/>
      <c r="E682" s="122"/>
      <c r="F682" s="223" t="s">
        <v>445</v>
      </c>
      <c r="G682" s="133" t="s">
        <v>446</v>
      </c>
      <c r="H682" s="123"/>
      <c r="I682" s="123"/>
      <c r="J682" s="127"/>
      <c r="K682" s="128"/>
      <c r="L682" s="128"/>
      <c r="M682" s="149">
        <v>1040</v>
      </c>
      <c r="N682" s="129">
        <f t="shared" si="33"/>
        <v>148492.70199999984</v>
      </c>
    </row>
    <row r="683" spans="1:14" x14ac:dyDescent="0.2">
      <c r="A683" s="131">
        <v>43434</v>
      </c>
      <c r="B683" s="132"/>
      <c r="C683" s="122"/>
      <c r="D683" s="122"/>
      <c r="E683" s="122"/>
      <c r="F683" s="122" t="s">
        <v>447</v>
      </c>
      <c r="G683" s="133" t="s">
        <v>448</v>
      </c>
      <c r="H683" s="123"/>
      <c r="I683" s="123"/>
      <c r="J683" s="127"/>
      <c r="K683" s="127" t="s">
        <v>449</v>
      </c>
      <c r="L683" s="128"/>
      <c r="M683" s="149">
        <v>780</v>
      </c>
      <c r="N683" s="129">
        <f t="shared" si="33"/>
        <v>147712.70199999984</v>
      </c>
    </row>
    <row r="684" spans="1:14" x14ac:dyDescent="0.2">
      <c r="A684" s="131">
        <v>43434</v>
      </c>
      <c r="B684" s="523"/>
      <c r="C684" s="524"/>
      <c r="D684" s="122"/>
      <c r="E684" s="122"/>
      <c r="F684" s="251" t="s">
        <v>450</v>
      </c>
      <c r="G684" s="133" t="s">
        <v>451</v>
      </c>
      <c r="H684" s="123"/>
      <c r="I684" s="123"/>
      <c r="J684" s="127"/>
      <c r="K684" s="128"/>
      <c r="L684" s="128"/>
      <c r="M684" s="149">
        <v>1040</v>
      </c>
      <c r="N684" s="129">
        <f t="shared" si="33"/>
        <v>146672.70199999984</v>
      </c>
    </row>
    <row r="685" spans="1:14" x14ac:dyDescent="0.2">
      <c r="A685" s="230">
        <v>43434</v>
      </c>
      <c r="B685" s="231"/>
      <c r="C685" s="232"/>
      <c r="D685" s="232"/>
      <c r="E685" s="232"/>
      <c r="F685" s="232" t="s">
        <v>452</v>
      </c>
      <c r="G685" s="133" t="s">
        <v>453</v>
      </c>
      <c r="H685" s="123"/>
      <c r="I685" s="155"/>
      <c r="K685" s="127" t="s">
        <v>454</v>
      </c>
      <c r="L685" s="128"/>
      <c r="M685" s="149">
        <v>320</v>
      </c>
      <c r="N685" s="129">
        <f t="shared" si="33"/>
        <v>146352.70199999984</v>
      </c>
    </row>
    <row r="686" spans="1:14" x14ac:dyDescent="0.2">
      <c r="A686" s="230"/>
      <c r="B686" s="231"/>
      <c r="C686" s="122"/>
      <c r="D686" s="122"/>
      <c r="E686" s="122"/>
      <c r="F686" s="122"/>
      <c r="G686" s="133"/>
      <c r="H686" s="123"/>
      <c r="I686" s="123"/>
      <c r="J686" s="127"/>
      <c r="K686" s="128"/>
      <c r="L686" s="128"/>
      <c r="M686" s="149"/>
      <c r="N686" s="129">
        <f t="shared" si="33"/>
        <v>146352.70199999984</v>
      </c>
    </row>
    <row r="687" spans="1:14" x14ac:dyDescent="0.2">
      <c r="A687" s="230"/>
      <c r="B687" s="231"/>
      <c r="C687" s="122"/>
      <c r="D687" s="122"/>
      <c r="E687" s="122"/>
      <c r="F687" s="122"/>
      <c r="G687" s="133"/>
      <c r="H687" s="123"/>
      <c r="I687" s="123"/>
      <c r="J687" s="127"/>
      <c r="K687" s="128"/>
      <c r="L687" s="128"/>
      <c r="M687" s="149"/>
      <c r="N687" s="129">
        <f t="shared" si="33"/>
        <v>146352.70199999984</v>
      </c>
    </row>
    <row r="688" spans="1:14" x14ac:dyDescent="0.2">
      <c r="A688" s="230"/>
      <c r="B688" s="231"/>
      <c r="C688" s="122"/>
      <c r="D688" s="122"/>
      <c r="E688" s="122"/>
      <c r="F688" s="122"/>
      <c r="G688" s="133"/>
      <c r="H688" s="123"/>
      <c r="I688" s="339"/>
      <c r="J688" s="235"/>
      <c r="K688" s="128"/>
      <c r="L688" s="128"/>
      <c r="M688" s="149"/>
      <c r="N688" s="129"/>
    </row>
    <row r="689" spans="1:14" x14ac:dyDescent="0.2">
      <c r="A689" s="230"/>
      <c r="B689" s="231"/>
      <c r="C689" s="122"/>
      <c r="D689" s="122"/>
      <c r="E689" s="122"/>
      <c r="F689" s="122"/>
      <c r="G689" s="133"/>
      <c r="H689" s="123"/>
      <c r="I689" s="339"/>
      <c r="J689" s="235"/>
      <c r="K689" s="128"/>
      <c r="L689" s="128"/>
      <c r="M689" s="149"/>
      <c r="N689" s="129"/>
    </row>
    <row r="690" spans="1:14" ht="13.5" thickBot="1" x14ac:dyDescent="0.25">
      <c r="A690" s="238"/>
      <c r="B690" s="239"/>
      <c r="C690" s="240"/>
      <c r="D690" s="240"/>
      <c r="E690" s="241"/>
      <c r="F690" s="242"/>
      <c r="G690" s="243"/>
      <c r="H690" s="244" t="s">
        <v>250</v>
      </c>
      <c r="I690" s="244"/>
      <c r="J690" s="161">
        <f>SUM(J636:J680)</f>
        <v>14859.9</v>
      </c>
      <c r="K690" s="245">
        <f>SUM(K636:K680)</f>
        <v>4755.1679999999997</v>
      </c>
      <c r="L690" s="246">
        <f>SUM(L636:L672)</f>
        <v>10104.731999999998</v>
      </c>
      <c r="M690" s="247">
        <f>SUM(M675:M687)</f>
        <v>6980</v>
      </c>
      <c r="N690" s="248"/>
    </row>
    <row r="691" spans="1:14" ht="13.5" thickBot="1" x14ac:dyDescent="0.25">
      <c r="A691" s="166"/>
      <c r="C691" s="168"/>
      <c r="D691" s="168"/>
      <c r="E691" s="169"/>
      <c r="F691" s="170"/>
      <c r="G691" s="171"/>
      <c r="H691" s="160" t="s">
        <v>13</v>
      </c>
      <c r="I691" s="314"/>
      <c r="J691" s="172"/>
      <c r="K691" s="173"/>
      <c r="L691" s="174"/>
      <c r="M691" s="174"/>
      <c r="N691" s="175">
        <f>+L690-M690+N635</f>
        <v>146352.70199999984</v>
      </c>
    </row>
    <row r="692" spans="1:14" x14ac:dyDescent="0.2">
      <c r="A692" s="166"/>
      <c r="C692" s="168"/>
      <c r="D692" s="168"/>
      <c r="E692" s="169"/>
      <c r="F692" s="170"/>
      <c r="G692" s="171"/>
      <c r="H692" s="171"/>
      <c r="I692" s="171"/>
      <c r="J692" s="189"/>
      <c r="K692" s="188"/>
      <c r="L692" s="180"/>
      <c r="M692" s="180"/>
      <c r="N692" s="189"/>
    </row>
    <row r="693" spans="1:14" ht="12.75" customHeight="1" x14ac:dyDescent="0.2">
      <c r="A693" s="527" t="s">
        <v>95</v>
      </c>
      <c r="B693" s="528"/>
      <c r="C693" s="528"/>
      <c r="D693" s="528"/>
      <c r="E693" s="528"/>
      <c r="F693" s="528"/>
      <c r="G693" s="528"/>
      <c r="H693" s="528"/>
      <c r="I693" s="528"/>
      <c r="J693" s="528"/>
      <c r="K693" s="528"/>
      <c r="L693" s="528"/>
      <c r="M693" s="528"/>
      <c r="N693" s="529"/>
    </row>
    <row r="694" spans="1:14" ht="12.75" customHeight="1" x14ac:dyDescent="0.2">
      <c r="A694" s="530"/>
      <c r="B694" s="531"/>
      <c r="C694" s="531"/>
      <c r="D694" s="531"/>
      <c r="E694" s="531"/>
      <c r="F694" s="531"/>
      <c r="G694" s="531"/>
      <c r="H694" s="531"/>
      <c r="I694" s="531"/>
      <c r="J694" s="531"/>
      <c r="K694" s="531"/>
      <c r="L694" s="531"/>
      <c r="M694" s="531"/>
      <c r="N694" s="532"/>
    </row>
    <row r="695" spans="1:14" ht="20.25" customHeight="1" x14ac:dyDescent="0.25">
      <c r="A695" s="533" t="s">
        <v>455</v>
      </c>
      <c r="B695" s="534"/>
      <c r="C695" s="534"/>
      <c r="D695" s="534"/>
      <c r="E695" s="534"/>
      <c r="F695" s="534"/>
      <c r="G695" s="534"/>
      <c r="H695" s="534"/>
      <c r="I695" s="534"/>
      <c r="J695" s="534"/>
      <c r="K695" s="534"/>
      <c r="L695" s="534"/>
      <c r="M695" s="534"/>
      <c r="N695" s="534"/>
    </row>
    <row r="696" spans="1:14" x14ac:dyDescent="0.2">
      <c r="A696" s="115" t="s">
        <v>1</v>
      </c>
      <c r="B696" s="116" t="s">
        <v>2</v>
      </c>
      <c r="C696" s="117" t="s">
        <v>3</v>
      </c>
      <c r="D696" s="117" t="s">
        <v>4</v>
      </c>
      <c r="E696" s="117" t="s">
        <v>96</v>
      </c>
      <c r="F696" s="117" t="s">
        <v>5</v>
      </c>
      <c r="G696" s="118" t="s">
        <v>97</v>
      </c>
      <c r="H696" s="118" t="s">
        <v>6</v>
      </c>
      <c r="I696" s="118"/>
      <c r="J696" s="117" t="s">
        <v>7</v>
      </c>
      <c r="K696" s="117" t="s">
        <v>8</v>
      </c>
      <c r="L696" s="117" t="s">
        <v>9</v>
      </c>
      <c r="M696" s="119" t="s">
        <v>10</v>
      </c>
      <c r="N696" s="117" t="s">
        <v>11</v>
      </c>
    </row>
    <row r="697" spans="1:14" x14ac:dyDescent="0.2">
      <c r="A697" s="120"/>
      <c r="B697" s="121"/>
      <c r="C697" s="122"/>
      <c r="D697" s="122"/>
      <c r="E697" s="122"/>
      <c r="F697" s="122"/>
      <c r="G697" s="101"/>
      <c r="H697" s="123"/>
      <c r="I697" s="123"/>
      <c r="J697" s="124"/>
      <c r="K697" s="125"/>
      <c r="L697" s="125"/>
      <c r="M697" s="125"/>
      <c r="N697" s="124">
        <f>N691</f>
        <v>146352.70199999984</v>
      </c>
    </row>
    <row r="698" spans="1:14" ht="14.25" x14ac:dyDescent="0.2">
      <c r="A698" s="201">
        <v>43802</v>
      </c>
      <c r="B698" s="184" t="s">
        <v>456</v>
      </c>
      <c r="C698" s="126"/>
      <c r="D698" s="122"/>
      <c r="E698" s="122"/>
      <c r="F698" s="122"/>
      <c r="G698" s="126" t="s">
        <v>457</v>
      </c>
      <c r="H698" s="122"/>
      <c r="I698" s="122"/>
      <c r="J698" s="190">
        <v>144</v>
      </c>
      <c r="K698" s="182">
        <f>+J698*0.32</f>
        <v>46.08</v>
      </c>
      <c r="L698" s="182">
        <f>+J698*0.68</f>
        <v>97.92</v>
      </c>
      <c r="M698" s="128"/>
      <c r="N698" s="129">
        <f>+L698-M698+N697</f>
        <v>146450.62199999986</v>
      </c>
    </row>
    <row r="699" spans="1:14" ht="14.25" x14ac:dyDescent="0.2">
      <c r="A699" s="201">
        <v>43805</v>
      </c>
      <c r="B699" s="184" t="s">
        <v>456</v>
      </c>
      <c r="C699" s="126"/>
      <c r="D699" s="122"/>
      <c r="E699" s="122"/>
      <c r="F699" s="122"/>
      <c r="G699" s="126" t="s">
        <v>457</v>
      </c>
      <c r="H699" s="122"/>
      <c r="I699" s="122"/>
      <c r="J699" s="190">
        <v>308</v>
      </c>
      <c r="K699" s="182">
        <f t="shared" ref="K699:K731" si="35">+J699*0.32</f>
        <v>98.56</v>
      </c>
      <c r="L699" s="182">
        <f>+J699*0.68</f>
        <v>209.44000000000003</v>
      </c>
      <c r="M699" s="128"/>
      <c r="N699" s="129">
        <f t="shared" ref="N699:N762" si="36">+L699-M699+N698</f>
        <v>146660.06199999986</v>
      </c>
    </row>
    <row r="700" spans="1:14" ht="14.25" x14ac:dyDescent="0.2">
      <c r="A700" s="201">
        <v>43806</v>
      </c>
      <c r="B700" s="184" t="s">
        <v>456</v>
      </c>
      <c r="C700" s="126"/>
      <c r="D700" s="122"/>
      <c r="E700" s="183"/>
      <c r="F700" s="183"/>
      <c r="G700" s="126" t="s">
        <v>457</v>
      </c>
      <c r="H700" s="122"/>
      <c r="I700" s="122"/>
      <c r="J700" s="190">
        <v>516</v>
      </c>
      <c r="K700" s="182">
        <f t="shared" si="35"/>
        <v>165.12</v>
      </c>
      <c r="L700" s="182">
        <f t="shared" ref="L700:L731" si="37">+J700*0.68</f>
        <v>350.88000000000005</v>
      </c>
      <c r="M700" s="128"/>
      <c r="N700" s="129">
        <f t="shared" si="36"/>
        <v>147010.94199999986</v>
      </c>
    </row>
    <row r="701" spans="1:14" ht="14.25" x14ac:dyDescent="0.2">
      <c r="A701" s="201">
        <v>43809</v>
      </c>
      <c r="B701" s="184" t="s">
        <v>456</v>
      </c>
      <c r="C701" s="126"/>
      <c r="D701" s="122"/>
      <c r="E701" s="122"/>
      <c r="F701" s="122"/>
      <c r="G701" s="126" t="s">
        <v>457</v>
      </c>
      <c r="H701" s="122"/>
      <c r="I701" s="122"/>
      <c r="J701" s="190">
        <v>452</v>
      </c>
      <c r="K701" s="182">
        <f t="shared" si="35"/>
        <v>144.64000000000001</v>
      </c>
      <c r="L701" s="182">
        <f t="shared" si="37"/>
        <v>307.36</v>
      </c>
      <c r="M701" s="128"/>
      <c r="N701" s="129">
        <f t="shared" si="36"/>
        <v>147318.30199999985</v>
      </c>
    </row>
    <row r="702" spans="1:14" ht="14.25" x14ac:dyDescent="0.2">
      <c r="A702" s="201">
        <v>43810</v>
      </c>
      <c r="B702" s="184" t="s">
        <v>456</v>
      </c>
      <c r="C702" s="126"/>
      <c r="D702" s="122"/>
      <c r="E702" s="122"/>
      <c r="F702" s="122"/>
      <c r="G702" s="126" t="s">
        <v>457</v>
      </c>
      <c r="H702" s="122"/>
      <c r="I702" s="122"/>
      <c r="J702" s="190">
        <v>308</v>
      </c>
      <c r="K702" s="182">
        <f t="shared" si="35"/>
        <v>98.56</v>
      </c>
      <c r="L702" s="182">
        <f t="shared" si="37"/>
        <v>209.44000000000003</v>
      </c>
      <c r="M702" s="128"/>
      <c r="N702" s="129">
        <f t="shared" si="36"/>
        <v>147527.74199999985</v>
      </c>
    </row>
    <row r="703" spans="1:14" ht="14.25" x14ac:dyDescent="0.2">
      <c r="A703" s="201">
        <v>43811</v>
      </c>
      <c r="B703" s="184" t="s">
        <v>456</v>
      </c>
      <c r="C703" s="126"/>
      <c r="D703" s="122"/>
      <c r="E703" s="122"/>
      <c r="F703" s="122"/>
      <c r="G703" s="126" t="s">
        <v>457</v>
      </c>
      <c r="H703" s="122"/>
      <c r="I703" s="122"/>
      <c r="J703" s="203">
        <v>308</v>
      </c>
      <c r="K703" s="182">
        <f t="shared" si="35"/>
        <v>98.56</v>
      </c>
      <c r="L703" s="182">
        <f t="shared" si="37"/>
        <v>209.44000000000003</v>
      </c>
      <c r="M703" s="128"/>
      <c r="N703" s="129">
        <f t="shared" si="36"/>
        <v>147737.18199999986</v>
      </c>
    </row>
    <row r="704" spans="1:14" ht="14.25" x14ac:dyDescent="0.2">
      <c r="A704" s="201">
        <v>43812</v>
      </c>
      <c r="B704" s="184" t="s">
        <v>456</v>
      </c>
      <c r="C704" s="126"/>
      <c r="D704" s="122"/>
      <c r="E704" s="122"/>
      <c r="F704" s="122"/>
      <c r="G704" s="126" t="s">
        <v>457</v>
      </c>
      <c r="H704" s="122"/>
      <c r="I704" s="122"/>
      <c r="J704" s="203">
        <v>616</v>
      </c>
      <c r="K704" s="182">
        <f t="shared" si="35"/>
        <v>197.12</v>
      </c>
      <c r="L704" s="182">
        <f t="shared" si="37"/>
        <v>418.88000000000005</v>
      </c>
      <c r="M704" s="128"/>
      <c r="N704" s="129">
        <f t="shared" si="36"/>
        <v>148156.06199999986</v>
      </c>
    </row>
    <row r="705" spans="1:14" ht="14.25" x14ac:dyDescent="0.2">
      <c r="A705" s="201">
        <v>43813</v>
      </c>
      <c r="B705" s="184" t="s">
        <v>456</v>
      </c>
      <c r="C705" s="126"/>
      <c r="D705" s="122"/>
      <c r="E705" s="122"/>
      <c r="F705" s="122"/>
      <c r="G705" s="126" t="s">
        <v>457</v>
      </c>
      <c r="H705" s="122"/>
      <c r="I705" s="122"/>
      <c r="J705" s="203">
        <v>204</v>
      </c>
      <c r="K705" s="182">
        <f t="shared" si="35"/>
        <v>65.28</v>
      </c>
      <c r="L705" s="182">
        <f t="shared" si="37"/>
        <v>138.72</v>
      </c>
      <c r="M705" s="128"/>
      <c r="N705" s="129">
        <f t="shared" si="36"/>
        <v>148294.78199999986</v>
      </c>
    </row>
    <row r="706" spans="1:14" ht="14.25" x14ac:dyDescent="0.2">
      <c r="A706" s="201">
        <v>43814</v>
      </c>
      <c r="B706" s="184" t="s">
        <v>456</v>
      </c>
      <c r="C706" s="126"/>
      <c r="D706" s="122"/>
      <c r="E706" s="122"/>
      <c r="F706" s="122"/>
      <c r="G706" s="126" t="s">
        <v>457</v>
      </c>
      <c r="H706" s="122"/>
      <c r="I706" s="122"/>
      <c r="J706" s="203">
        <v>144</v>
      </c>
      <c r="K706" s="182">
        <f t="shared" si="35"/>
        <v>46.08</v>
      </c>
      <c r="L706" s="182">
        <f t="shared" si="37"/>
        <v>97.92</v>
      </c>
      <c r="M706" s="128"/>
      <c r="N706" s="129">
        <f t="shared" si="36"/>
        <v>148392.70199999987</v>
      </c>
    </row>
    <row r="707" spans="1:14" ht="14.25" x14ac:dyDescent="0.2">
      <c r="A707" s="201">
        <v>43817</v>
      </c>
      <c r="B707" s="184" t="s">
        <v>458</v>
      </c>
      <c r="C707" s="126"/>
      <c r="D707" s="122"/>
      <c r="E707" s="122"/>
      <c r="F707" s="122"/>
      <c r="G707" s="126" t="s">
        <v>459</v>
      </c>
      <c r="H707" s="122"/>
      <c r="I707" s="122"/>
      <c r="J707" s="203">
        <v>328</v>
      </c>
      <c r="K707" s="182">
        <f t="shared" si="35"/>
        <v>104.96000000000001</v>
      </c>
      <c r="L707" s="182">
        <f t="shared" si="37"/>
        <v>223.04000000000002</v>
      </c>
      <c r="M707" s="128"/>
      <c r="N707" s="129">
        <f t="shared" si="36"/>
        <v>148615.74199999988</v>
      </c>
    </row>
    <row r="708" spans="1:14" ht="14.25" x14ac:dyDescent="0.2">
      <c r="A708" s="201">
        <v>43818</v>
      </c>
      <c r="B708" s="184" t="s">
        <v>458</v>
      </c>
      <c r="C708" s="126"/>
      <c r="D708" s="135"/>
      <c r="E708" s="122"/>
      <c r="F708" s="122"/>
      <c r="G708" s="126" t="s">
        <v>459</v>
      </c>
      <c r="H708" s="135"/>
      <c r="I708" s="135"/>
      <c r="J708" s="203">
        <v>184</v>
      </c>
      <c r="K708" s="182">
        <f t="shared" si="35"/>
        <v>58.88</v>
      </c>
      <c r="L708" s="182">
        <f t="shared" si="37"/>
        <v>125.12</v>
      </c>
      <c r="M708" s="128"/>
      <c r="N708" s="129">
        <f t="shared" si="36"/>
        <v>148740.86199999988</v>
      </c>
    </row>
    <row r="709" spans="1:14" ht="14.25" x14ac:dyDescent="0.2">
      <c r="A709" s="201">
        <v>43819</v>
      </c>
      <c r="B709" s="184" t="s">
        <v>458</v>
      </c>
      <c r="C709" s="126"/>
      <c r="D709" s="135"/>
      <c r="E709" s="122"/>
      <c r="F709" s="122"/>
      <c r="G709" s="126" t="s">
        <v>459</v>
      </c>
      <c r="H709" s="135"/>
      <c r="I709" s="135"/>
      <c r="J709" s="203">
        <v>144</v>
      </c>
      <c r="K709" s="182">
        <f t="shared" si="35"/>
        <v>46.08</v>
      </c>
      <c r="L709" s="182">
        <f t="shared" si="37"/>
        <v>97.92</v>
      </c>
      <c r="M709" s="128"/>
      <c r="N709" s="129">
        <f t="shared" si="36"/>
        <v>148838.78199999989</v>
      </c>
    </row>
    <row r="710" spans="1:14" ht="14.25" x14ac:dyDescent="0.2">
      <c r="A710" s="201">
        <v>43820</v>
      </c>
      <c r="B710" s="184" t="s">
        <v>458</v>
      </c>
      <c r="C710" s="126"/>
      <c r="D710" s="135"/>
      <c r="E710" s="122"/>
      <c r="F710" s="122"/>
      <c r="G710" s="126" t="s">
        <v>459</v>
      </c>
      <c r="H710" s="135"/>
      <c r="I710" s="135"/>
      <c r="J710" s="203">
        <v>148</v>
      </c>
      <c r="K710" s="182">
        <f t="shared" si="35"/>
        <v>47.36</v>
      </c>
      <c r="L710" s="182">
        <f t="shared" si="37"/>
        <v>100.64</v>
      </c>
      <c r="M710" s="128"/>
      <c r="N710" s="129">
        <f t="shared" si="36"/>
        <v>148939.4219999999</v>
      </c>
    </row>
    <row r="711" spans="1:14" ht="14.25" x14ac:dyDescent="0.2">
      <c r="A711" s="201">
        <v>43823</v>
      </c>
      <c r="B711" s="184" t="s">
        <v>458</v>
      </c>
      <c r="C711" s="126"/>
      <c r="D711" s="135"/>
      <c r="E711" s="122"/>
      <c r="F711" s="122"/>
      <c r="G711" s="126" t="s">
        <v>459</v>
      </c>
      <c r="H711" s="135"/>
      <c r="I711" s="135"/>
      <c r="J711" s="203">
        <v>144</v>
      </c>
      <c r="K711" s="182">
        <f t="shared" si="35"/>
        <v>46.08</v>
      </c>
      <c r="L711" s="182">
        <f t="shared" si="37"/>
        <v>97.92</v>
      </c>
      <c r="M711" s="128"/>
      <c r="N711" s="129">
        <f t="shared" si="36"/>
        <v>149037.34199999992</v>
      </c>
    </row>
    <row r="712" spans="1:14" ht="14.25" x14ac:dyDescent="0.2">
      <c r="A712" s="201">
        <v>43825</v>
      </c>
      <c r="B712" s="184" t="s">
        <v>458</v>
      </c>
      <c r="C712" s="126"/>
      <c r="D712" s="135"/>
      <c r="E712" s="122"/>
      <c r="F712" s="122"/>
      <c r="G712" s="126" t="s">
        <v>459</v>
      </c>
      <c r="H712" s="135"/>
      <c r="I712" s="135"/>
      <c r="J712" s="203">
        <v>344</v>
      </c>
      <c r="K712" s="182">
        <f t="shared" si="35"/>
        <v>110.08</v>
      </c>
      <c r="L712" s="182">
        <f t="shared" si="37"/>
        <v>233.92000000000002</v>
      </c>
      <c r="M712" s="128"/>
      <c r="N712" s="129">
        <f t="shared" si="36"/>
        <v>149271.26199999993</v>
      </c>
    </row>
    <row r="713" spans="1:14" ht="14.25" x14ac:dyDescent="0.2">
      <c r="A713" s="201">
        <v>43826</v>
      </c>
      <c r="B713" s="184" t="s">
        <v>458</v>
      </c>
      <c r="C713" s="126"/>
      <c r="D713" s="135"/>
      <c r="E713" s="122"/>
      <c r="F713" s="122"/>
      <c r="G713" s="126" t="s">
        <v>459</v>
      </c>
      <c r="H713" s="135"/>
      <c r="I713" s="135"/>
      <c r="J713" s="203">
        <v>240</v>
      </c>
      <c r="K713" s="182">
        <f t="shared" si="35"/>
        <v>76.8</v>
      </c>
      <c r="L713" s="182">
        <f t="shared" si="37"/>
        <v>163.20000000000002</v>
      </c>
      <c r="M713" s="128"/>
      <c r="N713" s="129">
        <f t="shared" si="36"/>
        <v>149434.46199999994</v>
      </c>
    </row>
    <row r="714" spans="1:14" ht="14.25" x14ac:dyDescent="0.2">
      <c r="A714" s="201">
        <v>43802</v>
      </c>
      <c r="B714" s="184"/>
      <c r="C714" s="126"/>
      <c r="D714" s="135"/>
      <c r="E714" s="122"/>
      <c r="F714" s="122"/>
      <c r="G714" s="126"/>
      <c r="H714" s="135"/>
      <c r="I714" s="135"/>
      <c r="J714" s="203">
        <v>290</v>
      </c>
      <c r="K714" s="182">
        <f t="shared" si="35"/>
        <v>92.8</v>
      </c>
      <c r="L714" s="182">
        <f t="shared" si="37"/>
        <v>197.20000000000002</v>
      </c>
      <c r="M714" s="128"/>
      <c r="N714" s="129">
        <f t="shared" si="36"/>
        <v>149631.66199999995</v>
      </c>
    </row>
    <row r="715" spans="1:14" ht="14.25" x14ac:dyDescent="0.2">
      <c r="A715" s="201">
        <v>43803</v>
      </c>
      <c r="B715" s="184"/>
      <c r="C715" s="126"/>
      <c r="D715" s="135"/>
      <c r="E715" s="122"/>
      <c r="F715" s="122"/>
      <c r="G715" s="126"/>
      <c r="H715" s="135"/>
      <c r="I715" s="135"/>
      <c r="J715" s="203">
        <v>190</v>
      </c>
      <c r="K715" s="182">
        <f t="shared" si="35"/>
        <v>60.800000000000004</v>
      </c>
      <c r="L715" s="182">
        <f t="shared" si="37"/>
        <v>129.20000000000002</v>
      </c>
      <c r="M715" s="128"/>
      <c r="N715" s="129">
        <f t="shared" si="36"/>
        <v>149760.86199999996</v>
      </c>
    </row>
    <row r="716" spans="1:14" ht="14.25" x14ac:dyDescent="0.2">
      <c r="A716" s="201">
        <v>43805</v>
      </c>
      <c r="B716" s="184"/>
      <c r="C716" s="126"/>
      <c r="D716" s="135"/>
      <c r="E716" s="122"/>
      <c r="F716" s="122"/>
      <c r="G716" s="126"/>
      <c r="H716" s="135"/>
      <c r="I716" s="135"/>
      <c r="J716" s="203">
        <v>1488</v>
      </c>
      <c r="K716" s="182">
        <f t="shared" si="35"/>
        <v>476.16</v>
      </c>
      <c r="L716" s="182">
        <f t="shared" si="37"/>
        <v>1011.84</v>
      </c>
      <c r="M716" s="128"/>
      <c r="N716" s="129">
        <f t="shared" si="36"/>
        <v>150772.70199999996</v>
      </c>
    </row>
    <row r="717" spans="1:14" ht="14.25" x14ac:dyDescent="0.2">
      <c r="A717" s="201">
        <v>43806</v>
      </c>
      <c r="B717" s="184"/>
      <c r="C717" s="126"/>
      <c r="D717" s="135"/>
      <c r="E717" s="122"/>
      <c r="F717" s="122"/>
      <c r="G717" s="126"/>
      <c r="H717" s="135"/>
      <c r="I717" s="135"/>
      <c r="J717" s="203">
        <v>288</v>
      </c>
      <c r="K717" s="182">
        <f t="shared" si="35"/>
        <v>92.16</v>
      </c>
      <c r="L717" s="182">
        <f t="shared" si="37"/>
        <v>195.84</v>
      </c>
      <c r="M717" s="128"/>
      <c r="N717" s="129">
        <f t="shared" si="36"/>
        <v>150968.54199999996</v>
      </c>
    </row>
    <row r="718" spans="1:14" ht="14.25" x14ac:dyDescent="0.2">
      <c r="A718" s="201">
        <v>43809</v>
      </c>
      <c r="B718" s="184"/>
      <c r="C718" s="126"/>
      <c r="D718" s="135"/>
      <c r="E718" s="122"/>
      <c r="F718" s="122"/>
      <c r="G718" s="126"/>
      <c r="H718" s="135"/>
      <c r="I718" s="135"/>
      <c r="J718" s="203">
        <v>642</v>
      </c>
      <c r="K718" s="182">
        <f t="shared" si="35"/>
        <v>205.44</v>
      </c>
      <c r="L718" s="182">
        <f t="shared" si="37"/>
        <v>436.56000000000006</v>
      </c>
      <c r="M718" s="128"/>
      <c r="N718" s="129">
        <f t="shared" si="36"/>
        <v>151405.10199999996</v>
      </c>
    </row>
    <row r="719" spans="1:14" ht="14.25" x14ac:dyDescent="0.2">
      <c r="A719" s="201">
        <v>43810</v>
      </c>
      <c r="B719" s="184"/>
      <c r="C719" s="126"/>
      <c r="D719" s="135"/>
      <c r="E719" s="122"/>
      <c r="F719" s="122"/>
      <c r="G719" s="126"/>
      <c r="H719" s="135"/>
      <c r="I719" s="135"/>
      <c r="J719" s="203">
        <v>70</v>
      </c>
      <c r="K719" s="182">
        <f t="shared" si="35"/>
        <v>22.400000000000002</v>
      </c>
      <c r="L719" s="182">
        <f t="shared" si="37"/>
        <v>47.6</v>
      </c>
      <c r="M719" s="128"/>
      <c r="N719" s="129">
        <f t="shared" si="36"/>
        <v>151452.70199999996</v>
      </c>
    </row>
    <row r="720" spans="1:14" ht="14.25" x14ac:dyDescent="0.2">
      <c r="A720" s="201">
        <v>43811</v>
      </c>
      <c r="B720" s="184"/>
      <c r="C720" s="126"/>
      <c r="D720" s="135"/>
      <c r="E720" s="122"/>
      <c r="F720" s="122"/>
      <c r="G720" s="126"/>
      <c r="H720" s="135"/>
      <c r="I720" s="135"/>
      <c r="J720" s="203">
        <v>1240</v>
      </c>
      <c r="K720" s="182">
        <f t="shared" si="35"/>
        <v>396.8</v>
      </c>
      <c r="L720" s="182">
        <f t="shared" si="37"/>
        <v>843.2</v>
      </c>
      <c r="M720" s="128"/>
      <c r="N720" s="129">
        <f t="shared" si="36"/>
        <v>152295.90199999997</v>
      </c>
    </row>
    <row r="721" spans="1:14" ht="14.25" x14ac:dyDescent="0.2">
      <c r="A721" s="201">
        <v>43812</v>
      </c>
      <c r="B721" s="184"/>
      <c r="C721" s="126"/>
      <c r="D721" s="135"/>
      <c r="E721" s="122"/>
      <c r="F721" s="122"/>
      <c r="G721" s="126"/>
      <c r="H721" s="135"/>
      <c r="I721" s="135"/>
      <c r="J721" s="203">
        <v>40</v>
      </c>
      <c r="K721" s="182">
        <f t="shared" si="35"/>
        <v>12.8</v>
      </c>
      <c r="L721" s="182">
        <f t="shared" si="37"/>
        <v>27.200000000000003</v>
      </c>
      <c r="M721" s="128"/>
      <c r="N721" s="129">
        <f t="shared" si="36"/>
        <v>152323.10199999998</v>
      </c>
    </row>
    <row r="722" spans="1:14" ht="14.25" x14ac:dyDescent="0.2">
      <c r="A722" s="201">
        <v>43813</v>
      </c>
      <c r="B722" s="184"/>
      <c r="C722" s="126"/>
      <c r="D722" s="135"/>
      <c r="E722" s="122"/>
      <c r="F722" s="122"/>
      <c r="G722" s="126"/>
      <c r="H722" s="135"/>
      <c r="I722" s="135"/>
      <c r="J722" s="203">
        <v>1216</v>
      </c>
      <c r="K722" s="182">
        <f t="shared" si="35"/>
        <v>389.12</v>
      </c>
      <c r="L722" s="182">
        <f t="shared" si="37"/>
        <v>826.88000000000011</v>
      </c>
      <c r="M722" s="128"/>
      <c r="N722" s="129">
        <f t="shared" si="36"/>
        <v>153149.98199999999</v>
      </c>
    </row>
    <row r="723" spans="1:14" ht="14.25" x14ac:dyDescent="0.2">
      <c r="A723" s="201">
        <v>43814</v>
      </c>
      <c r="B723" s="184"/>
      <c r="C723" s="126"/>
      <c r="D723" s="135"/>
      <c r="E723" s="122"/>
      <c r="F723" s="122"/>
      <c r="G723" s="126"/>
      <c r="H723" s="135"/>
      <c r="I723" s="135"/>
      <c r="J723" s="203">
        <v>372</v>
      </c>
      <c r="K723" s="182">
        <f t="shared" si="35"/>
        <v>119.04</v>
      </c>
      <c r="L723" s="182">
        <f t="shared" si="37"/>
        <v>252.96</v>
      </c>
      <c r="M723" s="128"/>
      <c r="N723" s="129">
        <f t="shared" si="36"/>
        <v>153402.94199999998</v>
      </c>
    </row>
    <row r="724" spans="1:14" ht="14.25" x14ac:dyDescent="0.2">
      <c r="A724" s="201">
        <v>43816</v>
      </c>
      <c r="B724" s="184"/>
      <c r="C724" s="126"/>
      <c r="D724" s="135"/>
      <c r="E724" s="122"/>
      <c r="F724" s="122"/>
      <c r="G724" s="126"/>
      <c r="H724" s="135"/>
      <c r="I724" s="135"/>
      <c r="J724" s="203">
        <v>208</v>
      </c>
      <c r="K724" s="182">
        <f t="shared" si="35"/>
        <v>66.56</v>
      </c>
      <c r="L724" s="182">
        <f t="shared" si="37"/>
        <v>141.44</v>
      </c>
      <c r="M724" s="128"/>
      <c r="N724" s="129">
        <f t="shared" si="36"/>
        <v>153544.38199999998</v>
      </c>
    </row>
    <row r="725" spans="1:14" ht="14.25" x14ac:dyDescent="0.2">
      <c r="A725" s="201">
        <v>43817</v>
      </c>
      <c r="B725" s="184"/>
      <c r="C725" s="126"/>
      <c r="D725" s="135"/>
      <c r="E725" s="122"/>
      <c r="F725" s="122"/>
      <c r="G725" s="126"/>
      <c r="H725" s="135"/>
      <c r="I725" s="135"/>
      <c r="J725" s="203">
        <v>884</v>
      </c>
      <c r="K725" s="182">
        <f t="shared" si="35"/>
        <v>282.88</v>
      </c>
      <c r="L725" s="182">
        <f t="shared" si="37"/>
        <v>601.12</v>
      </c>
      <c r="M725" s="128"/>
      <c r="N725" s="129">
        <f t="shared" si="36"/>
        <v>154145.50199999998</v>
      </c>
    </row>
    <row r="726" spans="1:14" ht="14.25" x14ac:dyDescent="0.2">
      <c r="A726" s="201">
        <v>43818</v>
      </c>
      <c r="B726" s="184"/>
      <c r="C726" s="126"/>
      <c r="D726" s="135"/>
      <c r="E726" s="122"/>
      <c r="F726" s="122"/>
      <c r="G726" s="126"/>
      <c r="H726" s="135"/>
      <c r="I726" s="135"/>
      <c r="J726" s="203">
        <v>1764</v>
      </c>
      <c r="K726" s="182">
        <f t="shared" si="35"/>
        <v>564.48</v>
      </c>
      <c r="L726" s="182">
        <f t="shared" si="37"/>
        <v>1199.52</v>
      </c>
      <c r="M726" s="128"/>
      <c r="N726" s="129">
        <f t="shared" si="36"/>
        <v>155345.02199999997</v>
      </c>
    </row>
    <row r="727" spans="1:14" ht="14.25" x14ac:dyDescent="0.2">
      <c r="A727" s="201">
        <v>43819</v>
      </c>
      <c r="B727" s="184"/>
      <c r="C727" s="126"/>
      <c r="D727" s="135"/>
      <c r="E727" s="122"/>
      <c r="F727" s="122"/>
      <c r="G727" s="126"/>
      <c r="H727" s="135"/>
      <c r="I727" s="135"/>
      <c r="J727" s="203">
        <v>666</v>
      </c>
      <c r="K727" s="182">
        <f t="shared" si="35"/>
        <v>213.12</v>
      </c>
      <c r="L727" s="182">
        <f t="shared" si="37"/>
        <v>452.88000000000005</v>
      </c>
      <c r="M727" s="128"/>
      <c r="N727" s="129">
        <f t="shared" si="36"/>
        <v>155797.90199999997</v>
      </c>
    </row>
    <row r="728" spans="1:14" ht="14.25" x14ac:dyDescent="0.2">
      <c r="A728" s="201">
        <v>43820</v>
      </c>
      <c r="B728" s="184"/>
      <c r="C728" s="126"/>
      <c r="D728" s="135"/>
      <c r="E728" s="122"/>
      <c r="F728" s="122"/>
      <c r="G728" s="126"/>
      <c r="H728" s="135"/>
      <c r="I728" s="135"/>
      <c r="J728" s="203">
        <v>434</v>
      </c>
      <c r="K728" s="182">
        <f t="shared" si="35"/>
        <v>138.88</v>
      </c>
      <c r="L728" s="182">
        <f t="shared" si="37"/>
        <v>295.12</v>
      </c>
      <c r="M728" s="128"/>
      <c r="N728" s="129">
        <f t="shared" si="36"/>
        <v>156093.02199999997</v>
      </c>
    </row>
    <row r="729" spans="1:14" ht="14.25" x14ac:dyDescent="0.2">
      <c r="A729" s="201">
        <v>43825</v>
      </c>
      <c r="B729" s="184"/>
      <c r="C729" s="126"/>
      <c r="D729" s="135"/>
      <c r="E729" s="122"/>
      <c r="F729" s="122"/>
      <c r="G729" s="126"/>
      <c r="H729" s="135"/>
      <c r="I729" s="135"/>
      <c r="J729" s="203">
        <v>931</v>
      </c>
      <c r="K729" s="182">
        <f t="shared" si="35"/>
        <v>297.92</v>
      </c>
      <c r="L729" s="182">
        <f t="shared" si="37"/>
        <v>633.08000000000004</v>
      </c>
      <c r="M729" s="128"/>
      <c r="N729" s="129">
        <f t="shared" si="36"/>
        <v>156726.10199999996</v>
      </c>
    </row>
    <row r="730" spans="1:14" ht="14.25" x14ac:dyDescent="0.2">
      <c r="A730" s="201">
        <v>43826</v>
      </c>
      <c r="B730" s="184"/>
      <c r="C730" s="126"/>
      <c r="D730" s="135"/>
      <c r="E730" s="122"/>
      <c r="F730" s="122"/>
      <c r="G730" s="126"/>
      <c r="H730" s="135"/>
      <c r="I730" s="135"/>
      <c r="J730" s="203">
        <v>434</v>
      </c>
      <c r="K730" s="182">
        <f t="shared" si="35"/>
        <v>138.88</v>
      </c>
      <c r="L730" s="182">
        <f t="shared" si="37"/>
        <v>295.12</v>
      </c>
      <c r="M730" s="128"/>
      <c r="N730" s="129">
        <f t="shared" si="36"/>
        <v>157021.22199999995</v>
      </c>
    </row>
    <row r="731" spans="1:14" ht="14.25" x14ac:dyDescent="0.2">
      <c r="A731" s="201">
        <v>43830</v>
      </c>
      <c r="B731" s="184"/>
      <c r="C731" s="126"/>
      <c r="D731" s="135"/>
      <c r="E731" s="122"/>
      <c r="F731" s="122"/>
      <c r="G731" s="126"/>
      <c r="H731" s="135"/>
      <c r="I731" s="135"/>
      <c r="J731" s="203">
        <v>20</v>
      </c>
      <c r="K731" s="182">
        <f t="shared" si="35"/>
        <v>6.4</v>
      </c>
      <c r="L731" s="182">
        <f t="shared" si="37"/>
        <v>13.600000000000001</v>
      </c>
      <c r="M731" s="128"/>
      <c r="N731" s="129">
        <f t="shared" si="36"/>
        <v>157034.82199999996</v>
      </c>
    </row>
    <row r="732" spans="1:14" ht="14.25" x14ac:dyDescent="0.2">
      <c r="A732" s="201"/>
      <c r="B732" s="184"/>
      <c r="C732" s="126"/>
      <c r="D732" s="135"/>
      <c r="E732" s="122"/>
      <c r="F732" s="122"/>
      <c r="G732" s="126"/>
      <c r="H732" s="135"/>
      <c r="I732" s="135"/>
      <c r="J732" s="203"/>
      <c r="K732" s="182"/>
      <c r="L732" s="182"/>
      <c r="M732" s="128"/>
      <c r="N732" s="129">
        <f t="shared" si="36"/>
        <v>157034.82199999996</v>
      </c>
    </row>
    <row r="733" spans="1:14" x14ac:dyDescent="0.2">
      <c r="A733" s="131"/>
      <c r="B733" s="212"/>
      <c r="C733" s="122"/>
      <c r="D733" s="122"/>
      <c r="F733" s="122"/>
      <c r="G733" s="133"/>
      <c r="H733" s="123"/>
      <c r="I733" s="123"/>
      <c r="J733" s="127"/>
      <c r="K733" s="128"/>
      <c r="L733" s="128"/>
      <c r="M733" s="128"/>
      <c r="N733" s="129">
        <f t="shared" si="36"/>
        <v>157034.82199999996</v>
      </c>
    </row>
    <row r="734" spans="1:14" ht="15" x14ac:dyDescent="0.25">
      <c r="A734" s="533" t="s">
        <v>408</v>
      </c>
      <c r="B734" s="534"/>
      <c r="C734" s="534"/>
      <c r="D734" s="534"/>
      <c r="E734" s="534"/>
      <c r="F734" s="534"/>
      <c r="G734" s="534"/>
      <c r="H734" s="534"/>
      <c r="I734" s="534"/>
      <c r="J734" s="534"/>
      <c r="K734" s="534"/>
      <c r="L734" s="534"/>
      <c r="M734" s="534"/>
      <c r="N734" s="129">
        <f t="shared" si="36"/>
        <v>157034.82199999996</v>
      </c>
    </row>
    <row r="735" spans="1:14" x14ac:dyDescent="0.2">
      <c r="A735" s="230">
        <v>43438</v>
      </c>
      <c r="B735" s="231"/>
      <c r="C735" s="232"/>
      <c r="D735" s="232"/>
      <c r="E735" s="232"/>
      <c r="F735" s="232" t="s">
        <v>460</v>
      </c>
      <c r="G735" s="133" t="s">
        <v>461</v>
      </c>
      <c r="H735" s="123"/>
      <c r="I735" s="123"/>
      <c r="J735" s="127"/>
      <c r="K735" s="128"/>
      <c r="L735" s="128"/>
      <c r="M735" s="149">
        <v>1040</v>
      </c>
      <c r="N735" s="129">
        <f t="shared" si="36"/>
        <v>155994.82199999996</v>
      </c>
    </row>
    <row r="736" spans="1:14" x14ac:dyDescent="0.2">
      <c r="A736" s="230">
        <v>43438</v>
      </c>
      <c r="B736" s="231"/>
      <c r="C736" s="232"/>
      <c r="D736" s="232"/>
      <c r="E736" s="232"/>
      <c r="F736" s="232" t="s">
        <v>462</v>
      </c>
      <c r="G736" s="133" t="s">
        <v>463</v>
      </c>
      <c r="H736" s="123"/>
      <c r="I736" s="123"/>
      <c r="J736" s="127"/>
      <c r="K736" s="128"/>
      <c r="L736" s="128"/>
      <c r="M736" s="149">
        <v>1040</v>
      </c>
      <c r="N736" s="129">
        <f t="shared" si="36"/>
        <v>154954.82199999996</v>
      </c>
    </row>
    <row r="737" spans="1:14" x14ac:dyDescent="0.2">
      <c r="A737" s="230">
        <v>43438</v>
      </c>
      <c r="B737" s="231"/>
      <c r="C737" s="232"/>
      <c r="D737" s="232"/>
      <c r="E737" s="232"/>
      <c r="F737" s="232" t="s">
        <v>464</v>
      </c>
      <c r="G737" s="133" t="s">
        <v>465</v>
      </c>
      <c r="H737" s="123"/>
      <c r="I737" s="123"/>
      <c r="J737" s="127"/>
      <c r="K737" s="128"/>
      <c r="L737" s="128"/>
      <c r="M737" s="149"/>
      <c r="N737" s="129">
        <f t="shared" si="36"/>
        <v>154954.82199999996</v>
      </c>
    </row>
    <row r="738" spans="1:14" x14ac:dyDescent="0.2">
      <c r="A738" s="230"/>
      <c r="B738" s="231"/>
      <c r="C738" s="232"/>
      <c r="D738" s="232"/>
      <c r="E738" s="232"/>
      <c r="F738" s="232"/>
      <c r="G738" s="133" t="s">
        <v>466</v>
      </c>
      <c r="H738" s="123"/>
      <c r="I738" s="123"/>
      <c r="J738" s="127"/>
      <c r="K738" s="128"/>
      <c r="L738" s="128"/>
      <c r="M738" s="149">
        <v>800</v>
      </c>
      <c r="N738" s="129">
        <f t="shared" si="36"/>
        <v>154154.82199999996</v>
      </c>
    </row>
    <row r="739" spans="1:14" x14ac:dyDescent="0.2">
      <c r="A739" s="230">
        <v>43438</v>
      </c>
      <c r="B739" s="231"/>
      <c r="C739" s="232"/>
      <c r="D739" s="232"/>
      <c r="E739" s="232"/>
      <c r="F739" s="232" t="s">
        <v>467</v>
      </c>
      <c r="G739" s="133" t="s">
        <v>468</v>
      </c>
      <c r="H739" s="123"/>
      <c r="I739" s="123"/>
      <c r="J739" s="127"/>
      <c r="K739" s="128"/>
      <c r="L739" s="128"/>
      <c r="M739" s="149"/>
      <c r="N739" s="129">
        <f t="shared" si="36"/>
        <v>154154.82199999996</v>
      </c>
    </row>
    <row r="740" spans="1:14" x14ac:dyDescent="0.2">
      <c r="A740" s="230"/>
      <c r="B740" s="231"/>
      <c r="C740" s="232"/>
      <c r="D740" s="232"/>
      <c r="E740" s="232"/>
      <c r="F740" s="232"/>
      <c r="G740" s="133" t="s">
        <v>469</v>
      </c>
      <c r="H740" s="123"/>
      <c r="I740" s="123"/>
      <c r="J740" s="127"/>
      <c r="K740" s="128"/>
      <c r="L740" s="128"/>
      <c r="M740" s="149">
        <v>800</v>
      </c>
      <c r="N740" s="129">
        <f t="shared" si="36"/>
        <v>153354.82199999996</v>
      </c>
    </row>
    <row r="741" spans="1:14" x14ac:dyDescent="0.2">
      <c r="A741" s="230">
        <v>43440</v>
      </c>
      <c r="B741" s="231"/>
      <c r="C741" s="232"/>
      <c r="D741" s="232"/>
      <c r="E741" s="232"/>
      <c r="F741" s="232" t="s">
        <v>470</v>
      </c>
      <c r="G741" s="133" t="s">
        <v>471</v>
      </c>
      <c r="H741" s="123"/>
      <c r="I741" s="123"/>
      <c r="J741" s="127"/>
      <c r="K741" s="128"/>
      <c r="L741" s="128"/>
      <c r="M741" s="149"/>
      <c r="N741" s="129">
        <f t="shared" si="36"/>
        <v>153354.82199999996</v>
      </c>
    </row>
    <row r="742" spans="1:14" x14ac:dyDescent="0.2">
      <c r="A742" s="230"/>
      <c r="B742" s="231"/>
      <c r="C742" s="122"/>
      <c r="D742" s="122"/>
      <c r="E742" s="122"/>
      <c r="F742" s="122"/>
      <c r="G742" s="133" t="s">
        <v>472</v>
      </c>
      <c r="H742" s="123"/>
      <c r="I742" s="123"/>
      <c r="J742" s="127"/>
      <c r="K742" s="128"/>
      <c r="L742" s="128"/>
      <c r="M742" s="149">
        <v>1040</v>
      </c>
      <c r="N742" s="129">
        <f t="shared" si="36"/>
        <v>152314.82199999996</v>
      </c>
    </row>
    <row r="743" spans="1:14" x14ac:dyDescent="0.2">
      <c r="A743" s="230">
        <v>43444</v>
      </c>
      <c r="B743" s="231"/>
      <c r="C743" s="122"/>
      <c r="D743" s="122"/>
      <c r="E743" s="122"/>
      <c r="F743" s="122" t="s">
        <v>473</v>
      </c>
      <c r="G743" s="133" t="s">
        <v>474</v>
      </c>
      <c r="H743" s="123"/>
      <c r="I743" s="123"/>
      <c r="J743" s="127"/>
      <c r="K743" s="128"/>
      <c r="L743" s="128"/>
      <c r="M743" s="149"/>
      <c r="N743" s="129">
        <f t="shared" si="36"/>
        <v>152314.82199999996</v>
      </c>
    </row>
    <row r="744" spans="1:14" x14ac:dyDescent="0.2">
      <c r="A744" s="230"/>
      <c r="B744" s="231"/>
      <c r="C744" s="122"/>
      <c r="D744" s="122"/>
      <c r="E744" s="122"/>
      <c r="F744" s="122"/>
      <c r="G744" s="133" t="s">
        <v>475</v>
      </c>
      <c r="H744" s="123"/>
      <c r="I744" s="123"/>
      <c r="J744" s="127"/>
      <c r="K744" s="128"/>
      <c r="L744" s="128"/>
      <c r="M744" s="149">
        <v>780</v>
      </c>
      <c r="N744" s="129">
        <f t="shared" si="36"/>
        <v>151534.82199999996</v>
      </c>
    </row>
    <row r="745" spans="1:14" x14ac:dyDescent="0.2">
      <c r="A745" s="230">
        <v>43447</v>
      </c>
      <c r="B745" s="231"/>
      <c r="C745" s="122"/>
      <c r="D745" s="122"/>
      <c r="E745" s="122"/>
      <c r="F745" s="122" t="s">
        <v>476</v>
      </c>
      <c r="G745" s="133" t="s">
        <v>477</v>
      </c>
      <c r="H745" s="123"/>
      <c r="I745" s="123"/>
      <c r="J745" s="127"/>
      <c r="K745" s="128"/>
      <c r="L745" s="128"/>
      <c r="M745" s="149">
        <v>1700</v>
      </c>
      <c r="N745" s="129">
        <f t="shared" si="36"/>
        <v>149834.82199999996</v>
      </c>
    </row>
    <row r="746" spans="1:14" x14ac:dyDescent="0.2">
      <c r="A746" s="230"/>
      <c r="B746" s="231"/>
      <c r="C746" s="122"/>
      <c r="D746" s="122"/>
      <c r="E746" s="122"/>
      <c r="F746" s="122"/>
      <c r="G746" s="133"/>
      <c r="H746" s="123" t="s">
        <v>478</v>
      </c>
      <c r="I746" s="339"/>
      <c r="J746" s="235"/>
      <c r="K746" s="128"/>
      <c r="L746" s="128"/>
      <c r="M746" s="149">
        <v>950</v>
      </c>
      <c r="N746" s="129">
        <f t="shared" si="36"/>
        <v>148884.82199999996</v>
      </c>
    </row>
    <row r="747" spans="1:14" x14ac:dyDescent="0.2">
      <c r="A747" s="230"/>
      <c r="B747" s="231"/>
      <c r="C747" s="122"/>
      <c r="D747" s="122"/>
      <c r="E747" s="122"/>
      <c r="F747" s="122"/>
      <c r="G747" s="133"/>
      <c r="H747" s="123" t="s">
        <v>479</v>
      </c>
      <c r="I747" s="339"/>
      <c r="J747" s="235"/>
      <c r="K747" s="128"/>
      <c r="L747" s="128"/>
      <c r="M747" s="149">
        <v>850</v>
      </c>
      <c r="N747" s="129">
        <f t="shared" si="36"/>
        <v>148034.82199999996</v>
      </c>
    </row>
    <row r="748" spans="1:14" x14ac:dyDescent="0.2">
      <c r="A748" s="230">
        <v>43447</v>
      </c>
      <c r="B748" s="231"/>
      <c r="C748" s="122"/>
      <c r="D748" s="122"/>
      <c r="E748" s="122"/>
      <c r="F748" s="122" t="s">
        <v>480</v>
      </c>
      <c r="G748" s="133" t="s">
        <v>481</v>
      </c>
      <c r="H748" s="123"/>
      <c r="I748" s="339"/>
      <c r="J748" s="235"/>
      <c r="K748" s="128"/>
      <c r="L748" s="128"/>
      <c r="M748" s="149"/>
      <c r="N748" s="129">
        <f t="shared" si="36"/>
        <v>148034.82199999996</v>
      </c>
    </row>
    <row r="749" spans="1:14" x14ac:dyDescent="0.2">
      <c r="A749" s="230"/>
      <c r="B749" s="231"/>
      <c r="C749" s="122"/>
      <c r="D749" s="122"/>
      <c r="E749" s="122"/>
      <c r="F749" s="122"/>
      <c r="G749" s="133"/>
      <c r="H749" s="123" t="s">
        <v>482</v>
      </c>
      <c r="I749" s="339"/>
      <c r="J749" s="235"/>
      <c r="K749" s="128"/>
      <c r="L749" s="128"/>
      <c r="M749" s="149">
        <v>2300</v>
      </c>
      <c r="N749" s="129">
        <f t="shared" si="36"/>
        <v>145734.82199999996</v>
      </c>
    </row>
    <row r="750" spans="1:14" x14ac:dyDescent="0.2">
      <c r="A750" s="230">
        <v>43447</v>
      </c>
      <c r="B750" s="231"/>
      <c r="C750" s="122"/>
      <c r="D750" s="122"/>
      <c r="E750" s="122"/>
      <c r="F750" s="122" t="s">
        <v>337</v>
      </c>
      <c r="G750" s="133" t="s">
        <v>483</v>
      </c>
      <c r="H750" s="123"/>
      <c r="I750" s="339"/>
      <c r="J750" s="235"/>
      <c r="K750" s="128"/>
      <c r="L750" s="128"/>
      <c r="M750" s="149">
        <v>300</v>
      </c>
      <c r="N750" s="129">
        <f t="shared" si="36"/>
        <v>145434.82199999996</v>
      </c>
    </row>
    <row r="751" spans="1:14" x14ac:dyDescent="0.2">
      <c r="A751" s="230">
        <v>43454</v>
      </c>
      <c r="B751" s="231"/>
      <c r="C751" s="122"/>
      <c r="D751" s="122"/>
      <c r="E751" s="122"/>
      <c r="F751" s="122" t="s">
        <v>484</v>
      </c>
      <c r="G751" s="147" t="s">
        <v>485</v>
      </c>
      <c r="H751" s="123"/>
      <c r="I751" s="339"/>
      <c r="J751" s="235"/>
      <c r="K751" s="128"/>
      <c r="L751" s="128"/>
      <c r="M751" s="149"/>
      <c r="N751" s="129">
        <f t="shared" si="36"/>
        <v>145434.82199999996</v>
      </c>
    </row>
    <row r="752" spans="1:14" s="312" customFormat="1" x14ac:dyDescent="0.2">
      <c r="A752" s="340"/>
      <c r="B752" s="341"/>
      <c r="C752" s="304"/>
      <c r="D752" s="304"/>
      <c r="E752" s="304"/>
      <c r="F752" s="304"/>
      <c r="G752" s="306" t="s">
        <v>486</v>
      </c>
      <c r="H752" s="329"/>
      <c r="I752" s="308">
        <v>1100</v>
      </c>
      <c r="J752" s="342"/>
      <c r="K752" s="310"/>
      <c r="L752" s="310"/>
      <c r="M752" s="308">
        <v>0</v>
      </c>
      <c r="N752" s="311">
        <f t="shared" si="36"/>
        <v>145434.82199999996</v>
      </c>
    </row>
    <row r="753" spans="1:14" s="312" customFormat="1" x14ac:dyDescent="0.2">
      <c r="A753" s="340"/>
      <c r="B753" s="341"/>
      <c r="C753" s="304"/>
      <c r="D753" s="304"/>
      <c r="E753" s="304"/>
      <c r="F753" s="304"/>
      <c r="G753" s="306" t="s">
        <v>487</v>
      </c>
      <c r="H753" s="329"/>
      <c r="I753" s="308">
        <v>1100</v>
      </c>
      <c r="J753" s="342"/>
      <c r="K753" s="310"/>
      <c r="L753" s="310"/>
      <c r="M753" s="308">
        <v>0</v>
      </c>
      <c r="N753" s="311">
        <f t="shared" si="36"/>
        <v>145434.82199999996</v>
      </c>
    </row>
    <row r="754" spans="1:14" x14ac:dyDescent="0.2">
      <c r="A754" s="230">
        <v>43455</v>
      </c>
      <c r="B754" s="231"/>
      <c r="C754" s="122"/>
      <c r="D754" s="122"/>
      <c r="E754" s="122"/>
      <c r="F754" s="122" t="s">
        <v>488</v>
      </c>
      <c r="G754" s="133" t="s">
        <v>489</v>
      </c>
      <c r="H754" s="123"/>
      <c r="I754" s="339"/>
      <c r="J754" s="235"/>
      <c r="K754" s="128"/>
      <c r="L754" s="128"/>
      <c r="M754" s="149"/>
      <c r="N754" s="129">
        <f t="shared" si="36"/>
        <v>145434.82199999996</v>
      </c>
    </row>
    <row r="755" spans="1:14" x14ac:dyDescent="0.2">
      <c r="A755" s="230"/>
      <c r="B755" s="231"/>
      <c r="C755" s="122"/>
      <c r="D755" s="122"/>
      <c r="E755" s="122"/>
      <c r="F755" s="122"/>
      <c r="G755" s="133" t="s">
        <v>490</v>
      </c>
      <c r="H755" s="123"/>
      <c r="I755" s="339"/>
      <c r="J755" s="235"/>
      <c r="K755" s="128"/>
      <c r="L755" s="128"/>
      <c r="M755" s="149">
        <v>1040</v>
      </c>
      <c r="N755" s="129">
        <f t="shared" si="36"/>
        <v>144394.82199999996</v>
      </c>
    </row>
    <row r="756" spans="1:14" x14ac:dyDescent="0.2">
      <c r="A756" s="230"/>
      <c r="B756" s="231"/>
      <c r="C756" s="122"/>
      <c r="D756" s="122"/>
      <c r="E756" s="122"/>
      <c r="F756" s="122"/>
      <c r="G756" s="133" t="s">
        <v>491</v>
      </c>
      <c r="H756" s="123"/>
      <c r="I756" s="339"/>
      <c r="J756" s="235"/>
      <c r="K756" s="128"/>
      <c r="L756" s="128"/>
      <c r="M756" s="149">
        <v>1040</v>
      </c>
      <c r="N756" s="129">
        <f t="shared" si="36"/>
        <v>143354.82199999996</v>
      </c>
    </row>
    <row r="757" spans="1:14" x14ac:dyDescent="0.2">
      <c r="A757" s="230"/>
      <c r="B757" s="231"/>
      <c r="C757" s="122"/>
      <c r="D757" s="122"/>
      <c r="E757" s="122"/>
      <c r="F757" s="122"/>
      <c r="G757" s="3"/>
      <c r="H757" s="16"/>
      <c r="I757" s="98" t="s">
        <v>60</v>
      </c>
      <c r="J757" s="98"/>
      <c r="K757" s="98"/>
      <c r="L757" s="128"/>
      <c r="M757" s="149"/>
      <c r="N757" s="129">
        <f t="shared" si="36"/>
        <v>143354.82199999996</v>
      </c>
    </row>
    <row r="758" spans="1:14" x14ac:dyDescent="0.2">
      <c r="A758" s="230"/>
      <c r="B758" s="231"/>
      <c r="C758" s="122"/>
      <c r="D758" s="122"/>
      <c r="E758" s="122"/>
      <c r="F758" s="122"/>
      <c r="G758" s="16"/>
      <c r="H758" s="69" t="s">
        <v>62</v>
      </c>
      <c r="I758" s="339"/>
      <c r="J758" s="235"/>
      <c r="K758" s="128"/>
      <c r="L758" s="128"/>
      <c r="M758" s="70">
        <v>482.68</v>
      </c>
      <c r="N758" s="129">
        <f t="shared" si="36"/>
        <v>142872.14199999996</v>
      </c>
    </row>
    <row r="759" spans="1:14" x14ac:dyDescent="0.2">
      <c r="A759" s="230"/>
      <c r="B759" s="231"/>
      <c r="C759" s="122"/>
      <c r="D759" s="122"/>
      <c r="E759" s="122"/>
      <c r="F759" s="122"/>
      <c r="G759" s="16" t="s">
        <v>26</v>
      </c>
      <c r="H759" s="81" t="s">
        <v>63</v>
      </c>
      <c r="I759" s="339"/>
      <c r="J759" s="235"/>
      <c r="K759" s="128"/>
      <c r="L759" s="128"/>
      <c r="M759" s="70">
        <v>643.58000000000004</v>
      </c>
      <c r="N759" s="129">
        <f t="shared" si="36"/>
        <v>142228.56199999998</v>
      </c>
    </row>
    <row r="760" spans="1:14" x14ac:dyDescent="0.2">
      <c r="A760" s="230"/>
      <c r="B760" s="231"/>
      <c r="C760" s="122"/>
      <c r="D760" s="122"/>
      <c r="E760" s="122"/>
      <c r="F760" s="122"/>
      <c r="G760" s="16" t="s">
        <v>61</v>
      </c>
      <c r="H760" s="81" t="s">
        <v>64</v>
      </c>
      <c r="I760" s="339"/>
      <c r="J760" s="235"/>
      <c r="K760" s="128"/>
      <c r="L760" s="128"/>
      <c r="M760" s="70">
        <v>241.34</v>
      </c>
      <c r="N760" s="129">
        <f t="shared" si="36"/>
        <v>141987.22199999998</v>
      </c>
    </row>
    <row r="761" spans="1:14" x14ac:dyDescent="0.2">
      <c r="A761" s="230"/>
      <c r="B761" s="231"/>
      <c r="C761" s="122"/>
      <c r="D761" s="122"/>
      <c r="E761" s="122"/>
      <c r="F761" s="122"/>
      <c r="G761" s="16"/>
      <c r="H761" s="81" t="s">
        <v>65</v>
      </c>
      <c r="I761" s="339"/>
      <c r="J761" s="235"/>
      <c r="K761" s="128"/>
      <c r="L761" s="128"/>
      <c r="M761" s="70">
        <v>241.34</v>
      </c>
      <c r="N761" s="129">
        <f t="shared" si="36"/>
        <v>141745.88199999998</v>
      </c>
    </row>
    <row r="762" spans="1:14" x14ac:dyDescent="0.2">
      <c r="A762" s="230"/>
      <c r="B762" s="231"/>
      <c r="C762" s="122"/>
      <c r="D762" s="122"/>
      <c r="E762" s="122"/>
      <c r="F762" s="122"/>
      <c r="G762" s="16" t="s">
        <v>66</v>
      </c>
      <c r="H762" s="69" t="s">
        <v>62</v>
      </c>
      <c r="I762" s="339"/>
      <c r="J762" s="235"/>
      <c r="K762" s="128"/>
      <c r="L762" s="128"/>
      <c r="M762" s="12">
        <v>935.87</v>
      </c>
      <c r="N762" s="129">
        <f t="shared" si="36"/>
        <v>140810.01199999999</v>
      </c>
    </row>
    <row r="763" spans="1:14" x14ac:dyDescent="0.2">
      <c r="A763" s="230"/>
      <c r="B763" s="231"/>
      <c r="C763" s="122"/>
      <c r="D763" s="122"/>
      <c r="E763" s="122"/>
      <c r="F763" s="122"/>
      <c r="G763" s="16" t="s">
        <v>67</v>
      </c>
      <c r="H763" s="81" t="s">
        <v>63</v>
      </c>
      <c r="I763" s="339"/>
      <c r="J763" s="235"/>
      <c r="K763" s="128"/>
      <c r="L763" s="128"/>
      <c r="M763" s="12">
        <v>1247.83</v>
      </c>
      <c r="N763" s="129">
        <f t="shared" ref="N763:N777" si="38">+L763-M763+N762</f>
        <v>139562.182</v>
      </c>
    </row>
    <row r="764" spans="1:14" x14ac:dyDescent="0.2">
      <c r="A764" s="230"/>
      <c r="B764" s="231"/>
      <c r="C764" s="122"/>
      <c r="D764" s="122"/>
      <c r="E764" s="122"/>
      <c r="F764" s="122"/>
      <c r="G764" s="16"/>
      <c r="H764" s="81" t="s">
        <v>64</v>
      </c>
      <c r="I764" s="339"/>
      <c r="J764" s="235"/>
      <c r="K764" s="128"/>
      <c r="L764" s="128"/>
      <c r="M764" s="12">
        <v>467.93</v>
      </c>
      <c r="N764" s="129">
        <f t="shared" si="38"/>
        <v>139094.25200000001</v>
      </c>
    </row>
    <row r="765" spans="1:14" x14ac:dyDescent="0.2">
      <c r="A765" s="230"/>
      <c r="B765" s="231"/>
      <c r="C765" s="122"/>
      <c r="D765" s="122"/>
      <c r="E765" s="122"/>
      <c r="F765" s="122"/>
      <c r="G765" s="16"/>
      <c r="H765" s="81" t="s">
        <v>65</v>
      </c>
      <c r="I765" s="339"/>
      <c r="J765" s="235"/>
      <c r="K765" s="128"/>
      <c r="L765" s="128"/>
      <c r="M765" s="12">
        <v>467.93</v>
      </c>
      <c r="N765" s="129">
        <f t="shared" si="38"/>
        <v>138626.32200000001</v>
      </c>
    </row>
    <row r="766" spans="1:14" x14ac:dyDescent="0.2">
      <c r="A766" s="230"/>
      <c r="B766" s="231"/>
      <c r="C766" s="122"/>
      <c r="D766" s="122"/>
      <c r="E766" s="122"/>
      <c r="F766" s="122"/>
      <c r="G766" s="16" t="s">
        <v>68</v>
      </c>
      <c r="H766" s="69" t="s">
        <v>62</v>
      </c>
      <c r="I766" s="339"/>
      <c r="J766" s="235"/>
      <c r="K766" s="128"/>
      <c r="L766" s="128"/>
      <c r="M766" s="12">
        <v>998.24</v>
      </c>
      <c r="N766" s="129">
        <f t="shared" si="38"/>
        <v>137628.08200000002</v>
      </c>
    </row>
    <row r="767" spans="1:14" x14ac:dyDescent="0.2">
      <c r="A767" s="230"/>
      <c r="B767" s="231"/>
      <c r="C767" s="122"/>
      <c r="D767" s="122"/>
      <c r="E767" s="122"/>
      <c r="F767" s="122"/>
      <c r="G767" s="16" t="s">
        <v>69</v>
      </c>
      <c r="H767" s="81" t="s">
        <v>63</v>
      </c>
      <c r="I767" s="339"/>
      <c r="J767" s="235"/>
      <c r="K767" s="128"/>
      <c r="L767" s="128"/>
      <c r="M767" s="12">
        <v>1330.99</v>
      </c>
      <c r="N767" s="129">
        <f t="shared" si="38"/>
        <v>136297.09200000003</v>
      </c>
    </row>
    <row r="768" spans="1:14" x14ac:dyDescent="0.2">
      <c r="A768" s="230"/>
      <c r="B768" s="231"/>
      <c r="C768" s="122"/>
      <c r="D768" s="122"/>
      <c r="E768" s="122"/>
      <c r="F768" s="122"/>
      <c r="G768" s="16"/>
      <c r="H768" s="81" t="s">
        <v>64</v>
      </c>
      <c r="I768" s="339"/>
      <c r="J768" s="235"/>
      <c r="K768" s="128"/>
      <c r="L768" s="128"/>
      <c r="M768" s="12">
        <v>499.12</v>
      </c>
      <c r="N768" s="129">
        <f t="shared" si="38"/>
        <v>135797.97200000004</v>
      </c>
    </row>
    <row r="769" spans="1:14" x14ac:dyDescent="0.2">
      <c r="A769" s="230"/>
      <c r="B769" s="231"/>
      <c r="C769" s="122"/>
      <c r="D769" s="122"/>
      <c r="E769" s="122"/>
      <c r="F769" s="122"/>
      <c r="G769" s="16"/>
      <c r="H769" s="81" t="s">
        <v>65</v>
      </c>
      <c r="I769" s="339"/>
      <c r="J769" s="235"/>
      <c r="K769" s="128"/>
      <c r="L769" s="128"/>
      <c r="M769" s="12">
        <v>499.12</v>
      </c>
      <c r="N769" s="129">
        <f t="shared" si="38"/>
        <v>135298.85200000004</v>
      </c>
    </row>
    <row r="770" spans="1:14" x14ac:dyDescent="0.2">
      <c r="A770" s="230"/>
      <c r="B770" s="231"/>
      <c r="C770" s="122"/>
      <c r="D770" s="122"/>
      <c r="E770" s="122"/>
      <c r="F770" s="122"/>
      <c r="G770" s="16" t="s">
        <v>70</v>
      </c>
      <c r="H770" s="69" t="s">
        <v>62</v>
      </c>
      <c r="I770" s="339"/>
      <c r="J770" s="235"/>
      <c r="K770" s="128"/>
      <c r="L770" s="128"/>
      <c r="M770" s="12">
        <v>928.55</v>
      </c>
      <c r="N770" s="129">
        <f t="shared" si="38"/>
        <v>134370.30200000005</v>
      </c>
    </row>
    <row r="771" spans="1:14" x14ac:dyDescent="0.2">
      <c r="A771" s="230"/>
      <c r="B771" s="231"/>
      <c r="C771" s="122"/>
      <c r="D771" s="122"/>
      <c r="E771" s="122"/>
      <c r="F771" s="122"/>
      <c r="G771" s="68" t="s">
        <v>71</v>
      </c>
      <c r="H771" s="81" t="s">
        <v>63</v>
      </c>
      <c r="I771" s="339"/>
      <c r="J771" s="235"/>
      <c r="K771" s="128"/>
      <c r="L771" s="128"/>
      <c r="M771" s="12">
        <v>1238.06</v>
      </c>
      <c r="N771" s="129">
        <f t="shared" si="38"/>
        <v>133132.24200000006</v>
      </c>
    </row>
    <row r="772" spans="1:14" x14ac:dyDescent="0.2">
      <c r="A772" s="230"/>
      <c r="B772" s="231"/>
      <c r="C772" s="122"/>
      <c r="D772" s="122"/>
      <c r="E772" s="122"/>
      <c r="F772" s="122"/>
      <c r="G772" s="68"/>
      <c r="H772" s="81" t="s">
        <v>64</v>
      </c>
      <c r="I772" s="339"/>
      <c r="J772" s="235"/>
      <c r="K772" s="128"/>
      <c r="L772" s="128"/>
      <c r="M772" s="12">
        <v>464.27</v>
      </c>
      <c r="N772" s="129">
        <f t="shared" si="38"/>
        <v>132667.97200000007</v>
      </c>
    </row>
    <row r="773" spans="1:14" x14ac:dyDescent="0.2">
      <c r="A773" s="230"/>
      <c r="B773" s="231"/>
      <c r="C773" s="122"/>
      <c r="D773" s="122"/>
      <c r="E773" s="122"/>
      <c r="F773" s="122"/>
      <c r="G773" s="13"/>
      <c r="H773" s="81" t="s">
        <v>65</v>
      </c>
      <c r="I773" s="339"/>
      <c r="J773" s="235"/>
      <c r="K773" s="128"/>
      <c r="L773" s="128"/>
      <c r="M773" s="12">
        <v>830.22</v>
      </c>
      <c r="N773" s="129">
        <f t="shared" si="38"/>
        <v>131837.75200000007</v>
      </c>
    </row>
    <row r="774" spans="1:14" x14ac:dyDescent="0.2">
      <c r="A774" s="230"/>
      <c r="B774" s="231"/>
      <c r="C774" s="122"/>
      <c r="D774" s="122"/>
      <c r="E774" s="122"/>
      <c r="F774" s="122"/>
      <c r="G774" s="13" t="s">
        <v>72</v>
      </c>
      <c r="H774" s="69" t="s">
        <v>62</v>
      </c>
      <c r="I774" s="339"/>
      <c r="J774" s="235"/>
      <c r="K774" s="128"/>
      <c r="L774" s="128"/>
      <c r="M774" s="12">
        <v>830.22</v>
      </c>
      <c r="N774" s="129">
        <f t="shared" si="38"/>
        <v>131007.53200000006</v>
      </c>
    </row>
    <row r="775" spans="1:14" x14ac:dyDescent="0.2">
      <c r="A775" s="230"/>
      <c r="B775" s="231"/>
      <c r="C775" s="122"/>
      <c r="D775" s="122"/>
      <c r="E775" s="122"/>
      <c r="F775" s="122"/>
      <c r="G775" s="13" t="s">
        <v>73</v>
      </c>
      <c r="H775" s="81" t="s">
        <v>63</v>
      </c>
      <c r="I775" s="339"/>
      <c r="J775" s="235"/>
      <c r="K775" s="128"/>
      <c r="L775" s="128"/>
      <c r="M775" s="12">
        <v>1106.96</v>
      </c>
      <c r="N775" s="129">
        <f t="shared" si="38"/>
        <v>129900.57200000006</v>
      </c>
    </row>
    <row r="776" spans="1:14" x14ac:dyDescent="0.2">
      <c r="A776" s="230"/>
      <c r="B776" s="231"/>
      <c r="C776" s="122"/>
      <c r="D776" s="122"/>
      <c r="E776" s="122"/>
      <c r="F776" s="122"/>
      <c r="G776" s="13"/>
      <c r="H776" s="81" t="s">
        <v>64</v>
      </c>
      <c r="I776" s="339"/>
      <c r="J776" s="235"/>
      <c r="K776" s="128"/>
      <c r="L776" s="128"/>
      <c r="M776" s="12">
        <v>415.11</v>
      </c>
      <c r="N776" s="129">
        <f t="shared" si="38"/>
        <v>129485.46200000006</v>
      </c>
    </row>
    <row r="777" spans="1:14" x14ac:dyDescent="0.2">
      <c r="A777" s="230"/>
      <c r="B777" s="231"/>
      <c r="C777" s="122"/>
      <c r="D777" s="122"/>
      <c r="E777" s="122"/>
      <c r="F777" s="122"/>
      <c r="G777" s="13"/>
      <c r="H777" s="81" t="s">
        <v>65</v>
      </c>
      <c r="I777" s="339"/>
      <c r="J777" s="235"/>
      <c r="K777" s="128"/>
      <c r="L777" s="128"/>
      <c r="M777" s="12">
        <v>415.11</v>
      </c>
      <c r="N777" s="129">
        <f t="shared" si="38"/>
        <v>129070.35200000006</v>
      </c>
    </row>
    <row r="778" spans="1:14" x14ac:dyDescent="0.2">
      <c r="A778" s="230"/>
      <c r="B778" s="231"/>
      <c r="C778" s="232"/>
      <c r="D778" s="232"/>
      <c r="E778" s="232"/>
      <c r="F778" s="232"/>
      <c r="G778" s="233"/>
      <c r="H778" s="234"/>
      <c r="I778" s="234"/>
      <c r="J778" s="235"/>
      <c r="K778" s="128"/>
      <c r="L778" s="128"/>
      <c r="M778" s="149"/>
      <c r="N778" s="129"/>
    </row>
    <row r="779" spans="1:14" ht="13.5" thickBot="1" x14ac:dyDescent="0.25">
      <c r="A779" s="238"/>
      <c r="B779" s="239"/>
      <c r="C779" s="240"/>
      <c r="D779" s="240"/>
      <c r="E779" s="241"/>
      <c r="F779" s="242"/>
      <c r="G779" s="243"/>
      <c r="H779" s="244" t="s">
        <v>250</v>
      </c>
      <c r="I779" s="244"/>
      <c r="J779" s="161">
        <f>SUM(J698:J734)</f>
        <v>15709</v>
      </c>
      <c r="K779" s="245">
        <f>SUM(K698:K734)</f>
        <v>5026.88</v>
      </c>
      <c r="L779" s="246">
        <f>SUM(L698:L732)</f>
        <v>10682.12</v>
      </c>
      <c r="M779" s="247">
        <f>SUM(M735:M777)</f>
        <v>27964.470000000005</v>
      </c>
      <c r="N779" s="248"/>
    </row>
    <row r="780" spans="1:14" ht="13.5" thickBot="1" x14ac:dyDescent="0.25">
      <c r="A780" s="166"/>
      <c r="C780" s="168"/>
      <c r="D780" s="168"/>
      <c r="E780" s="169"/>
      <c r="F780" s="170"/>
      <c r="G780" s="171"/>
      <c r="H780" s="160" t="s">
        <v>13</v>
      </c>
      <c r="I780" s="314"/>
      <c r="J780" s="172"/>
      <c r="K780" s="173"/>
      <c r="L780" s="174"/>
      <c r="M780" s="174"/>
      <c r="N780" s="175">
        <f>+L779-M779+N697</f>
        <v>129070.35199999984</v>
      </c>
    </row>
    <row r="781" spans="1:14" x14ac:dyDescent="0.2">
      <c r="A781" s="166"/>
      <c r="C781" s="168"/>
      <c r="D781" s="168"/>
      <c r="E781" s="169"/>
      <c r="F781" s="170"/>
      <c r="G781" s="171"/>
      <c r="H781" s="171"/>
      <c r="I781" s="171"/>
      <c r="J781" s="189"/>
      <c r="K781" s="188"/>
      <c r="L781" s="180"/>
      <c r="M781" s="180"/>
      <c r="N781" s="189"/>
    </row>
    <row r="782" spans="1:14" x14ac:dyDescent="0.2">
      <c r="A782" s="166"/>
      <c r="C782" s="168"/>
      <c r="D782" s="168"/>
      <c r="E782" s="169"/>
      <c r="F782" s="170"/>
      <c r="G782" s="171"/>
      <c r="H782" s="171"/>
      <c r="I782" s="171"/>
      <c r="J782" s="189"/>
      <c r="K782" s="188"/>
      <c r="L782" s="180"/>
      <c r="M782" s="180"/>
      <c r="N782" s="189"/>
    </row>
    <row r="783" spans="1:14" x14ac:dyDescent="0.2">
      <c r="A783" s="166"/>
      <c r="C783" s="168"/>
      <c r="D783" s="168"/>
      <c r="E783" s="169"/>
      <c r="F783" s="170"/>
      <c r="G783" s="171"/>
      <c r="H783" s="171"/>
      <c r="I783" s="171"/>
      <c r="J783" s="189"/>
      <c r="K783" s="188"/>
      <c r="L783" s="180"/>
      <c r="M783" s="180"/>
      <c r="N783" s="189"/>
    </row>
    <row r="784" spans="1:14" ht="15" customHeight="1" x14ac:dyDescent="0.25">
      <c r="B784"/>
      <c r="C784" s="265"/>
      <c r="D784" s="265"/>
      <c r="E784" s="265"/>
      <c r="F784" s="515" t="s">
        <v>15</v>
      </c>
      <c r="G784" s="515"/>
      <c r="H784" s="515"/>
      <c r="I784" s="515"/>
      <c r="J784" s="515"/>
      <c r="K784" s="515"/>
      <c r="L784" s="515"/>
      <c r="M784" s="266"/>
      <c r="N784" s="114"/>
    </row>
    <row r="785" spans="1:14" ht="15" customHeight="1" x14ac:dyDescent="0.25">
      <c r="B785" s="114"/>
      <c r="C785" s="114"/>
      <c r="D785" s="114"/>
      <c r="E785" s="114"/>
      <c r="F785" s="516"/>
      <c r="G785" s="516"/>
      <c r="H785" s="516"/>
      <c r="I785" s="516"/>
      <c r="J785" s="516"/>
      <c r="K785" s="516"/>
      <c r="L785" s="516"/>
      <c r="M785" s="266"/>
      <c r="N785" s="114"/>
    </row>
    <row r="786" spans="1:14" ht="15" customHeight="1" x14ac:dyDescent="0.25">
      <c r="B786" s="114"/>
      <c r="C786" s="114"/>
      <c r="D786" s="114"/>
      <c r="E786" s="114"/>
      <c r="F786" s="517" t="s">
        <v>16</v>
      </c>
      <c r="G786" s="518"/>
      <c r="H786" s="518"/>
      <c r="I786" s="518"/>
      <c r="J786" s="518"/>
      <c r="K786" s="518"/>
      <c r="L786" s="519"/>
      <c r="M786" s="266"/>
      <c r="N786" s="114"/>
    </row>
    <row r="787" spans="1:14" ht="15" x14ac:dyDescent="0.25">
      <c r="B787" s="114"/>
      <c r="C787" s="114"/>
      <c r="D787" s="114"/>
      <c r="E787" s="114"/>
      <c r="F787" s="267"/>
      <c r="G787" s="103" t="s">
        <v>17</v>
      </c>
      <c r="H787" s="103" t="s">
        <v>18</v>
      </c>
      <c r="I787" s="103"/>
      <c r="J787" s="268" t="s">
        <v>19</v>
      </c>
      <c r="K787" s="1" t="s">
        <v>20</v>
      </c>
      <c r="L787" s="103" t="s">
        <v>21</v>
      </c>
      <c r="M787" s="266"/>
      <c r="N787" s="266"/>
    </row>
    <row r="788" spans="1:14" ht="15" x14ac:dyDescent="0.25">
      <c r="B788" s="114"/>
      <c r="C788" s="114"/>
      <c r="D788" s="114"/>
      <c r="E788" s="114"/>
      <c r="F788" s="269" t="s">
        <v>5</v>
      </c>
      <c r="G788" s="103" t="s">
        <v>7</v>
      </c>
      <c r="H788" s="103" t="s">
        <v>8</v>
      </c>
      <c r="I788" s="103"/>
      <c r="J788" s="268" t="s">
        <v>9</v>
      </c>
      <c r="K788" s="1" t="s">
        <v>22</v>
      </c>
      <c r="L788" s="6" t="s">
        <v>23</v>
      </c>
      <c r="M788" s="266"/>
      <c r="N788" s="266"/>
    </row>
    <row r="789" spans="1:14" ht="15" x14ac:dyDescent="0.25">
      <c r="B789" s="114"/>
      <c r="C789" s="114"/>
      <c r="D789" s="114"/>
      <c r="E789" s="114"/>
      <c r="F789" s="270" t="s">
        <v>24</v>
      </c>
      <c r="G789" s="271"/>
      <c r="H789" s="271"/>
      <c r="I789" s="271"/>
      <c r="J789" s="272"/>
      <c r="K789" s="2"/>
      <c r="L789" s="103">
        <v>0</v>
      </c>
      <c r="M789" s="266"/>
      <c r="N789" s="266"/>
    </row>
    <row r="790" spans="1:14" ht="15" x14ac:dyDescent="0.25">
      <c r="B790" s="114"/>
      <c r="C790" s="114"/>
      <c r="D790" s="114"/>
      <c r="E790" s="114"/>
      <c r="F790" s="273" t="s">
        <v>25</v>
      </c>
      <c r="G790" s="101">
        <f>+J86</f>
        <v>50195</v>
      </c>
      <c r="H790" s="101">
        <f>+K86</f>
        <v>16062.399999999998</v>
      </c>
      <c r="I790" s="101"/>
      <c r="J790" s="102">
        <f>+L86</f>
        <v>34132.600000000013</v>
      </c>
      <c r="K790" s="3">
        <f>+M86</f>
        <v>16672</v>
      </c>
      <c r="L790" s="103">
        <f t="shared" ref="L790:L801" si="39">+J790-K790+L789</f>
        <v>17460.600000000013</v>
      </c>
      <c r="M790" s="266"/>
      <c r="N790" s="114"/>
    </row>
    <row r="791" spans="1:14" ht="15" x14ac:dyDescent="0.25">
      <c r="B791" s="114"/>
      <c r="C791" s="114"/>
      <c r="D791" s="114"/>
      <c r="E791" s="114"/>
      <c r="F791" s="273" t="s">
        <v>14</v>
      </c>
      <c r="G791" s="101">
        <f>+J159:J159</f>
        <v>20433</v>
      </c>
      <c r="H791" s="101">
        <f>+K159</f>
        <v>6538.5599999999995</v>
      </c>
      <c r="I791" s="101"/>
      <c r="J791" s="102">
        <f>+L159</f>
        <v>13894.440000000002</v>
      </c>
      <c r="K791" s="3">
        <f>+M159</f>
        <v>8696</v>
      </c>
      <c r="L791" s="103">
        <f t="shared" si="39"/>
        <v>22659.040000000015</v>
      </c>
      <c r="M791" s="266"/>
      <c r="N791" s="266"/>
    </row>
    <row r="792" spans="1:14" ht="15" x14ac:dyDescent="0.25">
      <c r="A792" s="114"/>
      <c r="B792" s="114"/>
      <c r="C792" s="114"/>
      <c r="D792" s="114"/>
      <c r="E792" s="114"/>
      <c r="F792" s="274" t="s">
        <v>26</v>
      </c>
      <c r="G792" s="101">
        <f>+J217</f>
        <v>14478</v>
      </c>
      <c r="H792" s="101">
        <f>+K217</f>
        <v>4632.9599999999982</v>
      </c>
      <c r="I792" s="101"/>
      <c r="J792" s="102">
        <f>+L217</f>
        <v>9845.0399999999972</v>
      </c>
      <c r="K792" s="3">
        <f>+M217</f>
        <v>11651.869999999999</v>
      </c>
      <c r="L792" s="103">
        <f t="shared" si="39"/>
        <v>20852.210000000014</v>
      </c>
      <c r="M792" s="266"/>
      <c r="N792" s="114"/>
    </row>
    <row r="793" spans="1:14" ht="15" x14ac:dyDescent="0.25">
      <c r="A793" s="114"/>
      <c r="B793" s="114"/>
      <c r="C793" s="114"/>
      <c r="D793" s="114"/>
      <c r="E793" s="114"/>
      <c r="F793" s="273" t="s">
        <v>27</v>
      </c>
      <c r="G793" s="101">
        <f>J289</f>
        <v>28380.5</v>
      </c>
      <c r="H793" s="101">
        <f>K289</f>
        <v>9081.76</v>
      </c>
      <c r="I793" s="101"/>
      <c r="J793" s="102">
        <f>L289</f>
        <v>19298.740000000002</v>
      </c>
      <c r="K793" s="3">
        <f>M289</f>
        <v>7720</v>
      </c>
      <c r="L793" s="103">
        <f t="shared" si="39"/>
        <v>32430.950000000015</v>
      </c>
      <c r="M793" s="266"/>
      <c r="N793" s="114"/>
    </row>
    <row r="794" spans="1:14" ht="15" x14ac:dyDescent="0.25">
      <c r="A794" s="114"/>
      <c r="B794" s="114"/>
      <c r="C794" s="114"/>
      <c r="D794" s="114"/>
      <c r="E794" s="114"/>
      <c r="F794" s="273" t="s">
        <v>28</v>
      </c>
      <c r="G794" s="101">
        <f>J342</f>
        <v>12190</v>
      </c>
      <c r="H794" s="101">
        <f>K342</f>
        <v>3900.7999999999993</v>
      </c>
      <c r="I794" s="101"/>
      <c r="J794" s="102">
        <f>L342</f>
        <v>8289.2000000000007</v>
      </c>
      <c r="K794" s="3">
        <f>M342</f>
        <v>12020</v>
      </c>
      <c r="L794" s="103">
        <f t="shared" si="39"/>
        <v>28700.150000000016</v>
      </c>
      <c r="M794" s="266"/>
      <c r="N794" s="114"/>
    </row>
    <row r="795" spans="1:14" ht="15" x14ac:dyDescent="0.25">
      <c r="A795" s="114"/>
      <c r="B795" s="114"/>
      <c r="C795" s="114"/>
      <c r="D795" s="114"/>
      <c r="E795" s="114"/>
      <c r="F795" s="273" t="s">
        <v>29</v>
      </c>
      <c r="G795" s="101">
        <f>J385</f>
        <v>10224</v>
      </c>
      <c r="H795" s="101">
        <f>K385</f>
        <v>3271.6799999999994</v>
      </c>
      <c r="I795" s="101"/>
      <c r="J795" s="102">
        <f>L385</f>
        <v>6952.32</v>
      </c>
      <c r="K795" s="3">
        <f>M385</f>
        <v>4840</v>
      </c>
      <c r="L795" s="103">
        <f t="shared" si="39"/>
        <v>30812.470000000016</v>
      </c>
      <c r="M795" s="266"/>
      <c r="N795" s="114"/>
    </row>
    <row r="796" spans="1:14" ht="15" x14ac:dyDescent="0.25">
      <c r="A796" s="114"/>
      <c r="B796" s="114"/>
      <c r="C796" s="114"/>
      <c r="D796" s="114"/>
      <c r="E796" s="114"/>
      <c r="F796" s="273" t="s">
        <v>30</v>
      </c>
      <c r="G796" s="101">
        <f>J432</f>
        <v>9591</v>
      </c>
      <c r="H796" s="101">
        <f>K432</f>
        <v>3069.1200000000003</v>
      </c>
      <c r="I796" s="101"/>
      <c r="J796" s="102">
        <f>L432</f>
        <v>6521.8799999999992</v>
      </c>
      <c r="K796" s="3">
        <f>M432</f>
        <v>9480</v>
      </c>
      <c r="L796" s="103">
        <f t="shared" si="39"/>
        <v>27854.350000000013</v>
      </c>
      <c r="M796" s="266"/>
      <c r="N796" s="114"/>
    </row>
    <row r="797" spans="1:14" ht="15" x14ac:dyDescent="0.25">
      <c r="A797" s="114"/>
      <c r="B797" s="114"/>
      <c r="C797" s="114"/>
      <c r="D797" s="114"/>
      <c r="E797" s="114"/>
      <c r="F797" s="273" t="s">
        <v>31</v>
      </c>
      <c r="G797" s="101">
        <f>J501</f>
        <v>22515</v>
      </c>
      <c r="H797" s="101">
        <f>K501</f>
        <v>7204.8</v>
      </c>
      <c r="I797" s="101"/>
      <c r="J797" s="102">
        <f>L501</f>
        <v>15310.200000000003</v>
      </c>
      <c r="K797" s="3">
        <f>M501</f>
        <v>3800</v>
      </c>
      <c r="L797" s="103">
        <f t="shared" si="39"/>
        <v>39364.550000000017</v>
      </c>
      <c r="M797" s="266"/>
      <c r="N797" s="114"/>
    </row>
    <row r="798" spans="1:14" ht="15" x14ac:dyDescent="0.25">
      <c r="A798" s="114"/>
      <c r="B798" s="114"/>
      <c r="C798" s="114"/>
      <c r="D798" s="114"/>
      <c r="E798" s="114"/>
      <c r="F798" s="273" t="s">
        <v>32</v>
      </c>
      <c r="G798" s="101">
        <f>J564</f>
        <v>18708</v>
      </c>
      <c r="H798" s="101">
        <f>K564</f>
        <v>5986.5599999999986</v>
      </c>
      <c r="I798" s="101"/>
      <c r="J798" s="102">
        <f>L564</f>
        <v>12721.440000000004</v>
      </c>
      <c r="K798" s="3">
        <f>M564</f>
        <v>4600</v>
      </c>
      <c r="L798" s="103">
        <f t="shared" si="39"/>
        <v>47485.99000000002</v>
      </c>
      <c r="M798" s="266"/>
      <c r="N798" s="114"/>
    </row>
    <row r="799" spans="1:14" ht="15" x14ac:dyDescent="0.25">
      <c r="A799" s="114"/>
      <c r="B799" s="114"/>
      <c r="C799" s="114"/>
      <c r="D799" s="114"/>
      <c r="E799" s="114"/>
      <c r="F799" s="273" t="s">
        <v>33</v>
      </c>
      <c r="G799" s="101">
        <f>J628</f>
        <v>17102</v>
      </c>
      <c r="H799" s="101">
        <f>K628</f>
        <v>5472.64</v>
      </c>
      <c r="I799" s="101"/>
      <c r="J799" s="102">
        <f>L628</f>
        <v>11629.359999999999</v>
      </c>
      <c r="K799" s="4">
        <f>M628</f>
        <v>5440</v>
      </c>
      <c r="L799" s="103">
        <f t="shared" si="39"/>
        <v>53675.35000000002</v>
      </c>
      <c r="M799" s="266"/>
      <c r="N799" s="114"/>
    </row>
    <row r="800" spans="1:14" ht="15" x14ac:dyDescent="0.25">
      <c r="A800" s="114"/>
      <c r="B800" s="114"/>
      <c r="C800" s="114"/>
      <c r="D800" s="114"/>
      <c r="E800" s="114"/>
      <c r="F800" s="273" t="s">
        <v>34</v>
      </c>
      <c r="G800" s="101">
        <f>J690</f>
        <v>14859.9</v>
      </c>
      <c r="H800" s="101">
        <f>K690</f>
        <v>4755.1679999999997</v>
      </c>
      <c r="I800" s="101"/>
      <c r="J800" s="102">
        <f>L690</f>
        <v>10104.731999999998</v>
      </c>
      <c r="K800" s="4">
        <f>M690</f>
        <v>6980</v>
      </c>
      <c r="L800" s="103">
        <f t="shared" si="39"/>
        <v>56800.082000000017</v>
      </c>
      <c r="M800" s="266"/>
      <c r="N800" s="114"/>
    </row>
    <row r="801" spans="1:15" ht="15" x14ac:dyDescent="0.25">
      <c r="A801" s="114"/>
      <c r="B801" s="114"/>
      <c r="C801" s="114"/>
      <c r="D801" s="114"/>
      <c r="E801" s="114"/>
      <c r="F801" s="273" t="s">
        <v>35</v>
      </c>
      <c r="G801" s="101">
        <f>J779</f>
        <v>15709</v>
      </c>
      <c r="H801" s="101">
        <f>K779</f>
        <v>5026.88</v>
      </c>
      <c r="I801" s="101"/>
      <c r="J801" s="102">
        <f>L779</f>
        <v>10682.12</v>
      </c>
      <c r="K801" s="4">
        <f>M779</f>
        <v>27964.470000000005</v>
      </c>
      <c r="L801" s="103">
        <f t="shared" si="39"/>
        <v>39517.732000000011</v>
      </c>
      <c r="M801" s="266"/>
      <c r="N801" s="114"/>
    </row>
    <row r="802" spans="1:15" ht="15" x14ac:dyDescent="0.25">
      <c r="A802" s="114"/>
      <c r="B802" s="114"/>
      <c r="C802" s="114"/>
      <c r="D802" s="114"/>
      <c r="E802" s="114"/>
      <c r="F802" s="126" t="s">
        <v>36</v>
      </c>
      <c r="G802" s="101">
        <f>SUM(G790:G801)</f>
        <v>234385.4</v>
      </c>
      <c r="H802" s="101">
        <f>SUM(H790:H801)</f>
        <v>75003.328000000009</v>
      </c>
      <c r="I802" s="101"/>
      <c r="J802" s="268">
        <f>SUM(J790:J801)</f>
        <v>159382.07200000001</v>
      </c>
      <c r="K802" s="5">
        <f>SUM(K790:K801)</f>
        <v>119864.34</v>
      </c>
      <c r="L802" s="9"/>
      <c r="M802" s="275"/>
      <c r="N802" s="114"/>
    </row>
    <row r="803" spans="1:15" ht="15" x14ac:dyDescent="0.25">
      <c r="A803" s="114"/>
      <c r="B803" s="114"/>
      <c r="C803" s="114"/>
      <c r="D803" s="114"/>
      <c r="E803" s="114"/>
      <c r="F803" s="276" t="s">
        <v>37</v>
      </c>
      <c r="G803" s="277"/>
      <c r="J803" s="177"/>
      <c r="K803" s="278"/>
      <c r="L803" s="266"/>
      <c r="N803" s="114"/>
    </row>
    <row r="804" spans="1:15" ht="15" x14ac:dyDescent="0.25">
      <c r="A804" s="114"/>
      <c r="B804" s="114"/>
      <c r="C804" s="114"/>
      <c r="D804" s="114"/>
      <c r="E804" s="114"/>
      <c r="F804" s="279" t="s">
        <v>38</v>
      </c>
      <c r="G804" s="280"/>
      <c r="J804" s="281"/>
      <c r="K804" s="265"/>
      <c r="L804" s="278"/>
      <c r="M804" s="266"/>
      <c r="N804" s="114"/>
    </row>
    <row r="805" spans="1:15" ht="15" x14ac:dyDescent="0.25">
      <c r="A805" s="114"/>
      <c r="B805" s="114"/>
      <c r="C805" s="114"/>
      <c r="D805" s="114"/>
      <c r="E805" s="114"/>
      <c r="F805" s="282" t="s">
        <v>39</v>
      </c>
      <c r="G805" s="283" t="s">
        <v>40</v>
      </c>
      <c r="K805" s="283"/>
      <c r="L805" s="278"/>
      <c r="M805" s="266"/>
      <c r="N805" s="114"/>
    </row>
    <row r="806" spans="1:15" ht="15" customHeight="1" x14ac:dyDescent="0.2">
      <c r="A806" s="114"/>
      <c r="B806" s="114"/>
      <c r="C806" s="114"/>
      <c r="D806" s="114"/>
      <c r="E806" s="114"/>
      <c r="F806" s="284" t="s">
        <v>41</v>
      </c>
      <c r="G806" s="114" t="s">
        <v>42</v>
      </c>
      <c r="H806" s="114"/>
      <c r="I806" s="114"/>
      <c r="J806" s="114"/>
      <c r="N806" s="114"/>
    </row>
    <row r="807" spans="1:15" ht="19.5" thickBot="1" x14ac:dyDescent="0.35">
      <c r="A807" s="114"/>
      <c r="B807" s="114"/>
      <c r="C807" s="114"/>
      <c r="D807" s="114"/>
      <c r="E807" s="114"/>
      <c r="F807" s="282" t="s">
        <v>43</v>
      </c>
      <c r="G807" s="285" t="s">
        <v>44</v>
      </c>
      <c r="H807" s="118">
        <f>+J802</f>
        <v>159382.07200000001</v>
      </c>
      <c r="I807" s="343"/>
      <c r="J807" s="286" t="s">
        <v>45</v>
      </c>
      <c r="K807" s="287">
        <f>+K802</f>
        <v>119864.34</v>
      </c>
      <c r="L807" s="288" t="s">
        <v>45</v>
      </c>
      <c r="M807" s="289">
        <f>+L789</f>
        <v>0</v>
      </c>
      <c r="N807" s="290" t="s">
        <v>46</v>
      </c>
      <c r="O807" s="180">
        <f>+H807-K807+M807</f>
        <v>39517.732000000018</v>
      </c>
    </row>
    <row r="808" spans="1:15" ht="13.5" thickTop="1" x14ac:dyDescent="0.2">
      <c r="A808" s="114"/>
      <c r="B808" s="114"/>
      <c r="C808" s="114"/>
      <c r="D808" s="114"/>
      <c r="E808" s="114"/>
      <c r="F808" s="114"/>
      <c r="J808" s="114"/>
      <c r="N808" s="114"/>
    </row>
    <row r="809" spans="1:15" x14ac:dyDescent="0.2">
      <c r="A809" s="114"/>
      <c r="G809" s="291" t="s">
        <v>47</v>
      </c>
      <c r="H809" s="73"/>
      <c r="I809" s="73"/>
      <c r="J809" s="73"/>
      <c r="K809" s="73"/>
      <c r="L809" s="177"/>
      <c r="M809" s="280"/>
      <c r="N809" s="114"/>
    </row>
    <row r="810" spans="1:15" x14ac:dyDescent="0.2">
      <c r="A810" s="114"/>
      <c r="N810" s="114"/>
    </row>
    <row r="811" spans="1:15" x14ac:dyDescent="0.2">
      <c r="A811" s="114"/>
      <c r="N811" s="114"/>
    </row>
    <row r="812" spans="1:15" x14ac:dyDescent="0.2">
      <c r="A812" s="114"/>
      <c r="N812" s="114"/>
    </row>
    <row r="813" spans="1:15" x14ac:dyDescent="0.2">
      <c r="A813" s="114"/>
      <c r="N813" s="114"/>
    </row>
    <row r="814" spans="1:15" x14ac:dyDescent="0.2">
      <c r="A814" s="114"/>
      <c r="N814" s="114"/>
    </row>
    <row r="815" spans="1:15" x14ac:dyDescent="0.2">
      <c r="A815" s="114"/>
      <c r="N815" s="114"/>
    </row>
    <row r="816" spans="1:15" x14ac:dyDescent="0.2">
      <c r="A816" s="114"/>
      <c r="N816" s="114"/>
    </row>
    <row r="817" spans="1:14" x14ac:dyDescent="0.2">
      <c r="A817" s="114"/>
      <c r="N817" s="114"/>
    </row>
    <row r="818" spans="1:14" x14ac:dyDescent="0.2">
      <c r="A818" s="114"/>
      <c r="N818" s="114"/>
    </row>
    <row r="819" spans="1:14" x14ac:dyDescent="0.2">
      <c r="A819" s="114"/>
      <c r="N819" s="114"/>
    </row>
    <row r="820" spans="1:14" x14ac:dyDescent="0.2">
      <c r="A820" s="114"/>
      <c r="N820" s="114"/>
    </row>
    <row r="821" spans="1:14" x14ac:dyDescent="0.2">
      <c r="A821" s="114"/>
      <c r="N821" s="114"/>
    </row>
    <row r="822" spans="1:14" x14ac:dyDescent="0.2">
      <c r="A822" s="114"/>
      <c r="N822" s="114"/>
    </row>
    <row r="823" spans="1:14" x14ac:dyDescent="0.2">
      <c r="A823" s="114"/>
      <c r="N823" s="114"/>
    </row>
    <row r="824" spans="1:14" x14ac:dyDescent="0.2">
      <c r="A824" s="114"/>
      <c r="B824" s="114"/>
      <c r="C824" s="114"/>
      <c r="D824" s="114"/>
      <c r="E824" s="114"/>
      <c r="F824" s="114"/>
      <c r="N824" s="114"/>
    </row>
    <row r="825" spans="1:14" x14ac:dyDescent="0.2">
      <c r="A825" s="114"/>
      <c r="B825" s="114"/>
      <c r="C825" s="114"/>
      <c r="D825" s="114"/>
      <c r="E825" s="114"/>
      <c r="F825" s="114"/>
      <c r="N825" s="114"/>
    </row>
    <row r="826" spans="1:14" x14ac:dyDescent="0.2">
      <c r="A826" s="114"/>
      <c r="B826" s="114"/>
      <c r="C826" s="114"/>
      <c r="D826" s="114"/>
      <c r="E826" s="114"/>
      <c r="F826" s="114"/>
      <c r="N826" s="114"/>
    </row>
    <row r="827" spans="1:14" x14ac:dyDescent="0.2">
      <c r="A827" s="114"/>
      <c r="B827" s="114"/>
      <c r="C827" s="114"/>
      <c r="D827" s="114"/>
      <c r="E827" s="114"/>
      <c r="F827" s="114"/>
      <c r="N827" s="114"/>
    </row>
    <row r="828" spans="1:14" x14ac:dyDescent="0.2">
      <c r="A828" s="114"/>
      <c r="B828" s="114"/>
      <c r="C828" s="114"/>
      <c r="D828" s="114"/>
      <c r="E828" s="114"/>
      <c r="F828" s="114"/>
      <c r="N828" s="114"/>
    </row>
    <row r="829" spans="1:14" x14ac:dyDescent="0.2">
      <c r="A829" s="114"/>
      <c r="B829" s="114"/>
      <c r="C829" s="114"/>
      <c r="D829" s="114"/>
      <c r="E829" s="114"/>
      <c r="F829" s="114"/>
      <c r="N829" s="114"/>
    </row>
    <row r="830" spans="1:14" x14ac:dyDescent="0.2">
      <c r="A830" s="114"/>
      <c r="B830" s="114"/>
      <c r="C830" s="114"/>
      <c r="D830" s="114"/>
      <c r="E830" s="114"/>
      <c r="F830" s="114"/>
      <c r="N830" s="114"/>
    </row>
    <row r="831" spans="1:14" x14ac:dyDescent="0.2">
      <c r="A831" s="114"/>
      <c r="B831" s="114"/>
      <c r="C831" s="114"/>
      <c r="D831" s="114"/>
      <c r="E831" s="114"/>
      <c r="F831" s="114"/>
      <c r="N831" s="114"/>
    </row>
    <row r="832" spans="1:14" x14ac:dyDescent="0.2">
      <c r="A832" s="114"/>
      <c r="B832" s="114"/>
      <c r="C832" s="114"/>
      <c r="D832" s="114"/>
      <c r="E832" s="114"/>
      <c r="F832" s="114"/>
      <c r="N832" s="114"/>
    </row>
    <row r="833" spans="7:10" s="114" customFormat="1" x14ac:dyDescent="0.2">
      <c r="G833" s="178"/>
      <c r="H833" s="178"/>
      <c r="I833" s="178"/>
      <c r="J833" s="179"/>
    </row>
    <row r="834" spans="7:10" s="114" customFormat="1" x14ac:dyDescent="0.2">
      <c r="G834" s="178"/>
      <c r="H834" s="178"/>
      <c r="I834" s="178"/>
      <c r="J834" s="179"/>
    </row>
    <row r="835" spans="7:10" s="114" customFormat="1" x14ac:dyDescent="0.2">
      <c r="G835" s="178"/>
      <c r="H835" s="178"/>
      <c r="I835" s="178"/>
      <c r="J835" s="179"/>
    </row>
    <row r="836" spans="7:10" s="114" customFormat="1" x14ac:dyDescent="0.2">
      <c r="G836" s="178"/>
      <c r="H836" s="178"/>
      <c r="I836" s="178"/>
      <c r="J836" s="179"/>
    </row>
    <row r="837" spans="7:10" s="114" customFormat="1" x14ac:dyDescent="0.2">
      <c r="G837" s="178"/>
      <c r="H837" s="178"/>
      <c r="I837" s="178"/>
      <c r="J837" s="179"/>
    </row>
    <row r="838" spans="7:10" s="114" customFormat="1" x14ac:dyDescent="0.2">
      <c r="G838" s="178"/>
      <c r="H838" s="178"/>
      <c r="I838" s="178"/>
      <c r="J838" s="179"/>
    </row>
    <row r="839" spans="7:10" s="114" customFormat="1" x14ac:dyDescent="0.2">
      <c r="G839" s="178"/>
      <c r="H839" s="178"/>
      <c r="I839" s="178"/>
      <c r="J839" s="179"/>
    </row>
    <row r="840" spans="7:10" s="114" customFormat="1" x14ac:dyDescent="0.2">
      <c r="G840" s="178"/>
      <c r="H840" s="178"/>
      <c r="I840" s="178"/>
      <c r="J840" s="179"/>
    </row>
    <row r="841" spans="7:10" s="114" customFormat="1" x14ac:dyDescent="0.2">
      <c r="G841" s="178"/>
      <c r="H841" s="178"/>
      <c r="I841" s="178"/>
      <c r="J841" s="179"/>
    </row>
    <row r="842" spans="7:10" s="114" customFormat="1" x14ac:dyDescent="0.2">
      <c r="G842" s="178"/>
      <c r="H842" s="178"/>
      <c r="I842" s="178"/>
      <c r="J842" s="179"/>
    </row>
    <row r="843" spans="7:10" s="114" customFormat="1" x14ac:dyDescent="0.2">
      <c r="G843" s="178"/>
      <c r="H843" s="178"/>
      <c r="I843" s="178"/>
      <c r="J843" s="179"/>
    </row>
    <row r="844" spans="7:10" s="114" customFormat="1" x14ac:dyDescent="0.2">
      <c r="G844" s="178"/>
      <c r="H844" s="178"/>
      <c r="I844" s="178"/>
      <c r="J844" s="179"/>
    </row>
    <row r="845" spans="7:10" s="114" customFormat="1" x14ac:dyDescent="0.2">
      <c r="G845" s="178"/>
      <c r="H845" s="178"/>
      <c r="I845" s="178"/>
      <c r="J845" s="179"/>
    </row>
    <row r="846" spans="7:10" s="114" customFormat="1" x14ac:dyDescent="0.2">
      <c r="G846" s="178"/>
      <c r="H846" s="178"/>
      <c r="I846" s="178"/>
      <c r="J846" s="179"/>
    </row>
    <row r="847" spans="7:10" s="114" customFormat="1" x14ac:dyDescent="0.2">
      <c r="G847" s="178"/>
      <c r="H847" s="178"/>
      <c r="I847" s="178"/>
      <c r="J847" s="179"/>
    </row>
    <row r="848" spans="7:10" s="114" customFormat="1" x14ac:dyDescent="0.2">
      <c r="G848" s="178"/>
      <c r="H848" s="178"/>
      <c r="I848" s="178"/>
      <c r="J848" s="179"/>
    </row>
    <row r="849" spans="7:10" s="114" customFormat="1" x14ac:dyDescent="0.2">
      <c r="G849" s="178"/>
      <c r="H849" s="178"/>
      <c r="I849" s="178"/>
      <c r="J849" s="179"/>
    </row>
    <row r="850" spans="7:10" s="114" customFormat="1" x14ac:dyDescent="0.2">
      <c r="G850" s="178"/>
      <c r="H850" s="178"/>
      <c r="I850" s="178"/>
      <c r="J850" s="179"/>
    </row>
    <row r="851" spans="7:10" s="114" customFormat="1" x14ac:dyDescent="0.2">
      <c r="G851" s="178"/>
      <c r="H851" s="178"/>
      <c r="I851" s="178"/>
      <c r="J851" s="179"/>
    </row>
    <row r="852" spans="7:10" s="114" customFormat="1" x14ac:dyDescent="0.2">
      <c r="G852" s="178"/>
      <c r="H852" s="178"/>
      <c r="I852" s="178"/>
      <c r="J852" s="179"/>
    </row>
    <row r="853" spans="7:10" s="114" customFormat="1" x14ac:dyDescent="0.2">
      <c r="G853" s="178"/>
      <c r="H853" s="178"/>
      <c r="I853" s="178"/>
      <c r="J853" s="179"/>
    </row>
    <row r="854" spans="7:10" s="114" customFormat="1" x14ac:dyDescent="0.2">
      <c r="G854" s="178"/>
      <c r="H854" s="178"/>
      <c r="I854" s="178"/>
      <c r="J854" s="179"/>
    </row>
    <row r="855" spans="7:10" s="114" customFormat="1" x14ac:dyDescent="0.2">
      <c r="G855" s="178"/>
      <c r="H855" s="178"/>
      <c r="I855" s="178"/>
      <c r="J855" s="179"/>
    </row>
    <row r="856" spans="7:10" s="114" customFormat="1" x14ac:dyDescent="0.2">
      <c r="G856" s="178"/>
      <c r="H856" s="178"/>
      <c r="I856" s="178"/>
      <c r="J856" s="179"/>
    </row>
    <row r="857" spans="7:10" s="114" customFormat="1" x14ac:dyDescent="0.2">
      <c r="G857" s="178"/>
      <c r="H857" s="178"/>
      <c r="I857" s="178"/>
      <c r="J857" s="179"/>
    </row>
    <row r="858" spans="7:10" s="114" customFormat="1" x14ac:dyDescent="0.2">
      <c r="G858" s="178"/>
      <c r="H858" s="178"/>
      <c r="I858" s="178"/>
      <c r="J858" s="179"/>
    </row>
    <row r="859" spans="7:10" s="114" customFormat="1" x14ac:dyDescent="0.2">
      <c r="G859" s="178"/>
      <c r="H859" s="178"/>
      <c r="I859" s="178"/>
      <c r="J859" s="179"/>
    </row>
    <row r="860" spans="7:10" s="114" customFormat="1" x14ac:dyDescent="0.2">
      <c r="G860" s="178"/>
      <c r="H860" s="178"/>
      <c r="I860" s="178"/>
      <c r="J860" s="179"/>
    </row>
    <row r="861" spans="7:10" s="114" customFormat="1" x14ac:dyDescent="0.2">
      <c r="G861" s="178"/>
      <c r="H861" s="178"/>
      <c r="I861" s="178"/>
      <c r="J861" s="179"/>
    </row>
    <row r="862" spans="7:10" s="114" customFormat="1" x14ac:dyDescent="0.2">
      <c r="G862" s="178"/>
      <c r="H862" s="178"/>
      <c r="I862" s="178"/>
      <c r="J862" s="179"/>
    </row>
    <row r="863" spans="7:10" s="114" customFormat="1" x14ac:dyDescent="0.2">
      <c r="G863" s="178"/>
      <c r="H863" s="178"/>
      <c r="I863" s="178"/>
      <c r="J863" s="179"/>
    </row>
    <row r="864" spans="7:10" s="114" customFormat="1" x14ac:dyDescent="0.2">
      <c r="G864" s="178"/>
      <c r="H864" s="178"/>
      <c r="I864" s="178"/>
      <c r="J864" s="179"/>
    </row>
    <row r="865" spans="7:10" s="114" customFormat="1" x14ac:dyDescent="0.2">
      <c r="G865" s="178"/>
      <c r="H865" s="178"/>
      <c r="I865" s="178"/>
      <c r="J865" s="179"/>
    </row>
    <row r="866" spans="7:10" s="114" customFormat="1" x14ac:dyDescent="0.2">
      <c r="G866" s="178"/>
      <c r="H866" s="178"/>
      <c r="I866" s="178"/>
      <c r="J866" s="179"/>
    </row>
    <row r="867" spans="7:10" s="114" customFormat="1" x14ac:dyDescent="0.2">
      <c r="G867" s="178"/>
      <c r="H867" s="178"/>
      <c r="I867" s="178"/>
      <c r="J867" s="179"/>
    </row>
    <row r="868" spans="7:10" s="114" customFormat="1" x14ac:dyDescent="0.2">
      <c r="G868" s="178"/>
      <c r="H868" s="178"/>
      <c r="I868" s="178"/>
      <c r="J868" s="179"/>
    </row>
    <row r="869" spans="7:10" s="114" customFormat="1" x14ac:dyDescent="0.2">
      <c r="G869" s="178"/>
      <c r="H869" s="178"/>
      <c r="I869" s="178"/>
      <c r="J869" s="179"/>
    </row>
    <row r="870" spans="7:10" s="114" customFormat="1" x14ac:dyDescent="0.2">
      <c r="G870" s="178"/>
      <c r="H870" s="178"/>
      <c r="I870" s="178"/>
      <c r="J870" s="179"/>
    </row>
    <row r="871" spans="7:10" s="114" customFormat="1" x14ac:dyDescent="0.2">
      <c r="G871" s="178"/>
      <c r="H871" s="178"/>
      <c r="I871" s="178"/>
      <c r="J871" s="179"/>
    </row>
    <row r="872" spans="7:10" s="114" customFormat="1" x14ac:dyDescent="0.2">
      <c r="G872" s="178"/>
      <c r="H872" s="178"/>
      <c r="I872" s="178"/>
      <c r="J872" s="179"/>
    </row>
    <row r="873" spans="7:10" s="114" customFormat="1" x14ac:dyDescent="0.2">
      <c r="G873" s="178"/>
      <c r="H873" s="178"/>
      <c r="I873" s="178"/>
      <c r="J873" s="179"/>
    </row>
    <row r="874" spans="7:10" s="114" customFormat="1" x14ac:dyDescent="0.2">
      <c r="G874" s="178"/>
      <c r="H874" s="178"/>
      <c r="I874" s="178"/>
      <c r="J874" s="179"/>
    </row>
    <row r="875" spans="7:10" s="114" customFormat="1" x14ac:dyDescent="0.2">
      <c r="G875" s="178"/>
      <c r="H875" s="178"/>
      <c r="I875" s="178"/>
      <c r="J875" s="179"/>
    </row>
    <row r="876" spans="7:10" s="114" customFormat="1" x14ac:dyDescent="0.2">
      <c r="G876" s="178"/>
      <c r="H876" s="178"/>
      <c r="I876" s="178"/>
      <c r="J876" s="179"/>
    </row>
    <row r="877" spans="7:10" s="114" customFormat="1" x14ac:dyDescent="0.2">
      <c r="G877" s="178"/>
      <c r="H877" s="178"/>
      <c r="I877" s="178"/>
      <c r="J877" s="179"/>
    </row>
    <row r="878" spans="7:10" s="114" customFormat="1" x14ac:dyDescent="0.2">
      <c r="G878" s="178"/>
      <c r="H878" s="178"/>
      <c r="I878" s="178"/>
      <c r="J878" s="179"/>
    </row>
    <row r="879" spans="7:10" s="114" customFormat="1" x14ac:dyDescent="0.2">
      <c r="G879" s="178"/>
      <c r="H879" s="178"/>
      <c r="I879" s="178"/>
      <c r="J879" s="179"/>
    </row>
    <row r="880" spans="7:10" s="114" customFormat="1" x14ac:dyDescent="0.2">
      <c r="G880" s="178"/>
      <c r="H880" s="178"/>
      <c r="I880" s="178"/>
      <c r="J880" s="179"/>
    </row>
    <row r="881" spans="7:10" s="114" customFormat="1" x14ac:dyDescent="0.2">
      <c r="G881" s="178"/>
      <c r="H881" s="178"/>
      <c r="I881" s="178"/>
      <c r="J881" s="179"/>
    </row>
    <row r="882" spans="7:10" s="114" customFormat="1" x14ac:dyDescent="0.2">
      <c r="G882" s="178"/>
      <c r="H882" s="178"/>
      <c r="I882" s="178"/>
      <c r="J882" s="179"/>
    </row>
    <row r="883" spans="7:10" s="114" customFormat="1" x14ac:dyDescent="0.2">
      <c r="G883" s="178"/>
      <c r="H883" s="178"/>
      <c r="I883" s="178"/>
      <c r="J883" s="179"/>
    </row>
    <row r="884" spans="7:10" s="114" customFormat="1" x14ac:dyDescent="0.2">
      <c r="G884" s="178"/>
      <c r="H884" s="178"/>
      <c r="I884" s="178"/>
      <c r="J884" s="179"/>
    </row>
    <row r="885" spans="7:10" s="114" customFormat="1" x14ac:dyDescent="0.2">
      <c r="G885" s="178"/>
      <c r="H885" s="178"/>
      <c r="I885" s="178"/>
      <c r="J885" s="179"/>
    </row>
    <row r="886" spans="7:10" s="114" customFormat="1" x14ac:dyDescent="0.2">
      <c r="G886" s="178"/>
      <c r="H886" s="178"/>
      <c r="I886" s="178"/>
      <c r="J886" s="179"/>
    </row>
    <row r="887" spans="7:10" s="114" customFormat="1" x14ac:dyDescent="0.2">
      <c r="G887" s="178"/>
      <c r="H887" s="178"/>
      <c r="I887" s="178"/>
      <c r="J887" s="179"/>
    </row>
    <row r="888" spans="7:10" s="114" customFormat="1" x14ac:dyDescent="0.2">
      <c r="G888" s="178"/>
      <c r="H888" s="178"/>
      <c r="I888" s="178"/>
      <c r="J888" s="179"/>
    </row>
    <row r="889" spans="7:10" s="114" customFormat="1" x14ac:dyDescent="0.2">
      <c r="G889" s="178"/>
      <c r="H889" s="178"/>
      <c r="I889" s="178"/>
      <c r="J889" s="179"/>
    </row>
    <row r="890" spans="7:10" s="114" customFormat="1" x14ac:dyDescent="0.2">
      <c r="G890" s="178"/>
      <c r="H890" s="178"/>
      <c r="I890" s="178"/>
      <c r="J890" s="179"/>
    </row>
    <row r="891" spans="7:10" s="114" customFormat="1" x14ac:dyDescent="0.2">
      <c r="G891" s="178"/>
      <c r="H891" s="178"/>
      <c r="I891" s="178"/>
      <c r="J891" s="179"/>
    </row>
    <row r="892" spans="7:10" s="114" customFormat="1" x14ac:dyDescent="0.2">
      <c r="G892" s="178"/>
      <c r="H892" s="178"/>
      <c r="I892" s="178"/>
      <c r="J892" s="179"/>
    </row>
    <row r="893" spans="7:10" s="114" customFormat="1" x14ac:dyDescent="0.2">
      <c r="G893" s="178"/>
      <c r="H893" s="178"/>
      <c r="I893" s="178"/>
      <c r="J893" s="179"/>
    </row>
    <row r="894" spans="7:10" s="114" customFormat="1" x14ac:dyDescent="0.2">
      <c r="G894" s="178"/>
      <c r="H894" s="178"/>
      <c r="I894" s="178"/>
      <c r="J894" s="179"/>
    </row>
    <row r="895" spans="7:10" s="114" customFormat="1" x14ac:dyDescent="0.2">
      <c r="G895" s="178"/>
      <c r="H895" s="178"/>
      <c r="I895" s="178"/>
      <c r="J895" s="179"/>
    </row>
    <row r="896" spans="7:10" s="114" customFormat="1" x14ac:dyDescent="0.2">
      <c r="G896" s="178"/>
      <c r="H896" s="178"/>
      <c r="I896" s="178"/>
      <c r="J896" s="179"/>
    </row>
    <row r="897" spans="7:10" s="114" customFormat="1" x14ac:dyDescent="0.2">
      <c r="G897" s="178"/>
      <c r="H897" s="178"/>
      <c r="I897" s="178"/>
      <c r="J897" s="179"/>
    </row>
    <row r="898" spans="7:10" s="114" customFormat="1" x14ac:dyDescent="0.2">
      <c r="G898" s="178"/>
      <c r="H898" s="178"/>
      <c r="I898" s="178"/>
      <c r="J898" s="179"/>
    </row>
    <row r="899" spans="7:10" s="114" customFormat="1" x14ac:dyDescent="0.2">
      <c r="G899" s="178"/>
      <c r="H899" s="178"/>
      <c r="I899" s="178"/>
      <c r="J899" s="179"/>
    </row>
    <row r="900" spans="7:10" s="114" customFormat="1" x14ac:dyDescent="0.2">
      <c r="G900" s="178"/>
      <c r="H900" s="178"/>
      <c r="I900" s="178"/>
      <c r="J900" s="179"/>
    </row>
    <row r="901" spans="7:10" s="114" customFormat="1" x14ac:dyDescent="0.2">
      <c r="G901" s="178"/>
      <c r="H901" s="178"/>
      <c r="I901" s="178"/>
      <c r="J901" s="179"/>
    </row>
    <row r="902" spans="7:10" s="114" customFormat="1" x14ac:dyDescent="0.2">
      <c r="G902" s="178"/>
      <c r="H902" s="178"/>
      <c r="I902" s="178"/>
      <c r="J902" s="179"/>
    </row>
    <row r="903" spans="7:10" s="114" customFormat="1" x14ac:dyDescent="0.2">
      <c r="G903" s="178"/>
      <c r="H903" s="178"/>
      <c r="I903" s="178"/>
      <c r="J903" s="179"/>
    </row>
    <row r="904" spans="7:10" s="114" customFormat="1" x14ac:dyDescent="0.2">
      <c r="G904" s="178"/>
      <c r="H904" s="178"/>
      <c r="I904" s="178"/>
      <c r="J904" s="179"/>
    </row>
    <row r="905" spans="7:10" s="114" customFormat="1" x14ac:dyDescent="0.2">
      <c r="G905" s="178"/>
      <c r="H905" s="178"/>
      <c r="I905" s="178"/>
      <c r="J905" s="179"/>
    </row>
    <row r="906" spans="7:10" s="114" customFormat="1" x14ac:dyDescent="0.2">
      <c r="G906" s="178"/>
      <c r="H906" s="178"/>
      <c r="I906" s="178"/>
      <c r="J906" s="179"/>
    </row>
    <row r="907" spans="7:10" s="114" customFormat="1" x14ac:dyDescent="0.2">
      <c r="G907" s="178"/>
      <c r="H907" s="178"/>
      <c r="I907" s="178"/>
      <c r="J907" s="179"/>
    </row>
    <row r="908" spans="7:10" s="114" customFormat="1" x14ac:dyDescent="0.2">
      <c r="G908" s="178"/>
      <c r="H908" s="178"/>
      <c r="I908" s="178"/>
      <c r="J908" s="179"/>
    </row>
    <row r="909" spans="7:10" s="114" customFormat="1" x14ac:dyDescent="0.2">
      <c r="G909" s="178"/>
      <c r="H909" s="178"/>
      <c r="I909" s="178"/>
      <c r="J909" s="179"/>
    </row>
    <row r="910" spans="7:10" s="114" customFormat="1" x14ac:dyDescent="0.2">
      <c r="G910" s="178"/>
      <c r="H910" s="178"/>
      <c r="I910" s="178"/>
      <c r="J910" s="179"/>
    </row>
    <row r="911" spans="7:10" s="114" customFormat="1" x14ac:dyDescent="0.2">
      <c r="G911" s="178"/>
      <c r="H911" s="178"/>
      <c r="I911" s="178"/>
      <c r="J911" s="179"/>
    </row>
    <row r="912" spans="7:10" s="114" customFormat="1" x14ac:dyDescent="0.2">
      <c r="G912" s="178"/>
      <c r="H912" s="178"/>
      <c r="I912" s="178"/>
      <c r="J912" s="179"/>
    </row>
    <row r="913" spans="7:10" s="114" customFormat="1" x14ac:dyDescent="0.2">
      <c r="G913" s="178"/>
      <c r="H913" s="178"/>
      <c r="I913" s="178"/>
      <c r="J913" s="179"/>
    </row>
    <row r="914" spans="7:10" s="114" customFormat="1" x14ac:dyDescent="0.2">
      <c r="G914" s="178"/>
      <c r="H914" s="178"/>
      <c r="I914" s="178"/>
      <c r="J914" s="179"/>
    </row>
    <row r="915" spans="7:10" s="114" customFormat="1" x14ac:dyDescent="0.2">
      <c r="G915" s="178"/>
      <c r="H915" s="178"/>
      <c r="I915" s="178"/>
      <c r="J915" s="179"/>
    </row>
    <row r="916" spans="7:10" s="114" customFormat="1" x14ac:dyDescent="0.2">
      <c r="G916" s="178"/>
      <c r="H916" s="178"/>
      <c r="I916" s="178"/>
      <c r="J916" s="179"/>
    </row>
    <row r="917" spans="7:10" s="114" customFormat="1" x14ac:dyDescent="0.2">
      <c r="G917" s="178"/>
      <c r="H917" s="178"/>
      <c r="I917" s="178"/>
      <c r="J917" s="179"/>
    </row>
    <row r="918" spans="7:10" s="114" customFormat="1" x14ac:dyDescent="0.2">
      <c r="G918" s="178"/>
      <c r="H918" s="178"/>
      <c r="I918" s="178"/>
      <c r="J918" s="179"/>
    </row>
    <row r="919" spans="7:10" s="114" customFormat="1" x14ac:dyDescent="0.2">
      <c r="G919" s="178"/>
      <c r="H919" s="178"/>
      <c r="I919" s="178"/>
      <c r="J919" s="179"/>
    </row>
    <row r="920" spans="7:10" s="114" customFormat="1" x14ac:dyDescent="0.2">
      <c r="G920" s="178"/>
      <c r="H920" s="178"/>
      <c r="I920" s="178"/>
      <c r="J920" s="179"/>
    </row>
    <row r="921" spans="7:10" s="114" customFormat="1" x14ac:dyDescent="0.2">
      <c r="G921" s="178"/>
      <c r="H921" s="178"/>
      <c r="I921" s="178"/>
      <c r="J921" s="179"/>
    </row>
    <row r="922" spans="7:10" s="114" customFormat="1" x14ac:dyDescent="0.2">
      <c r="G922" s="178"/>
      <c r="H922" s="178"/>
      <c r="I922" s="178"/>
      <c r="J922" s="179"/>
    </row>
    <row r="923" spans="7:10" s="114" customFormat="1" x14ac:dyDescent="0.2">
      <c r="G923" s="178"/>
      <c r="H923" s="178"/>
      <c r="I923" s="178"/>
      <c r="J923" s="179"/>
    </row>
    <row r="924" spans="7:10" s="114" customFormat="1" x14ac:dyDescent="0.2">
      <c r="G924" s="178"/>
      <c r="H924" s="178"/>
      <c r="I924" s="178"/>
      <c r="J924" s="179"/>
    </row>
    <row r="925" spans="7:10" s="114" customFormat="1" x14ac:dyDescent="0.2">
      <c r="G925" s="178"/>
      <c r="H925" s="178"/>
      <c r="I925" s="178"/>
      <c r="J925" s="179"/>
    </row>
    <row r="926" spans="7:10" s="114" customFormat="1" x14ac:dyDescent="0.2">
      <c r="G926" s="178"/>
      <c r="H926" s="178"/>
      <c r="I926" s="178"/>
      <c r="J926" s="179"/>
    </row>
    <row r="927" spans="7:10" s="114" customFormat="1" x14ac:dyDescent="0.2">
      <c r="G927" s="178"/>
      <c r="H927" s="178"/>
      <c r="I927" s="178"/>
      <c r="J927" s="179"/>
    </row>
    <row r="928" spans="7:10" s="114" customFormat="1" x14ac:dyDescent="0.2">
      <c r="G928" s="178"/>
      <c r="H928" s="178"/>
      <c r="I928" s="178"/>
      <c r="J928" s="179"/>
    </row>
    <row r="929" spans="7:10" s="114" customFormat="1" x14ac:dyDescent="0.2">
      <c r="G929" s="178"/>
      <c r="H929" s="178"/>
      <c r="I929" s="178"/>
      <c r="J929" s="179"/>
    </row>
    <row r="930" spans="7:10" s="114" customFormat="1" x14ac:dyDescent="0.2">
      <c r="G930" s="178"/>
      <c r="H930" s="178"/>
      <c r="I930" s="178"/>
      <c r="J930" s="179"/>
    </row>
    <row r="931" spans="7:10" s="114" customFormat="1" x14ac:dyDescent="0.2">
      <c r="G931" s="178"/>
      <c r="H931" s="178"/>
      <c r="I931" s="178"/>
      <c r="J931" s="179"/>
    </row>
    <row r="932" spans="7:10" s="114" customFormat="1" x14ac:dyDescent="0.2">
      <c r="G932" s="178"/>
      <c r="H932" s="178"/>
      <c r="I932" s="178"/>
      <c r="J932" s="179"/>
    </row>
    <row r="933" spans="7:10" s="114" customFormat="1" x14ac:dyDescent="0.2">
      <c r="G933" s="178"/>
      <c r="H933" s="178"/>
      <c r="I933" s="178"/>
      <c r="J933" s="179"/>
    </row>
    <row r="934" spans="7:10" s="114" customFormat="1" x14ac:dyDescent="0.2">
      <c r="G934" s="178"/>
      <c r="H934" s="178"/>
      <c r="I934" s="178"/>
      <c r="J934" s="179"/>
    </row>
    <row r="935" spans="7:10" s="114" customFormat="1" x14ac:dyDescent="0.2">
      <c r="G935" s="178"/>
      <c r="H935" s="178"/>
      <c r="I935" s="178"/>
      <c r="J935" s="179"/>
    </row>
    <row r="936" spans="7:10" s="114" customFormat="1" x14ac:dyDescent="0.2">
      <c r="G936" s="178"/>
      <c r="H936" s="178"/>
      <c r="I936" s="178"/>
      <c r="J936" s="179"/>
    </row>
    <row r="937" spans="7:10" s="114" customFormat="1" x14ac:dyDescent="0.2">
      <c r="G937" s="178"/>
      <c r="H937" s="178"/>
      <c r="I937" s="178"/>
      <c r="J937" s="179"/>
    </row>
    <row r="938" spans="7:10" s="114" customFormat="1" x14ac:dyDescent="0.2">
      <c r="G938" s="178"/>
      <c r="H938" s="178"/>
      <c r="I938" s="178"/>
      <c r="J938" s="179"/>
    </row>
    <row r="939" spans="7:10" s="114" customFormat="1" x14ac:dyDescent="0.2">
      <c r="G939" s="178"/>
      <c r="H939" s="178"/>
      <c r="I939" s="178"/>
      <c r="J939" s="179"/>
    </row>
    <row r="940" spans="7:10" s="114" customFormat="1" x14ac:dyDescent="0.2">
      <c r="G940" s="178"/>
      <c r="H940" s="178"/>
      <c r="I940" s="178"/>
      <c r="J940" s="179"/>
    </row>
    <row r="941" spans="7:10" s="114" customFormat="1" x14ac:dyDescent="0.2">
      <c r="G941" s="178"/>
      <c r="H941" s="178"/>
      <c r="I941" s="178"/>
      <c r="J941" s="179"/>
    </row>
    <row r="942" spans="7:10" s="114" customFormat="1" x14ac:dyDescent="0.2">
      <c r="G942" s="178"/>
      <c r="H942" s="178"/>
      <c r="I942" s="178"/>
      <c r="J942" s="179"/>
    </row>
    <row r="943" spans="7:10" s="114" customFormat="1" x14ac:dyDescent="0.2">
      <c r="G943" s="178"/>
      <c r="H943" s="178"/>
      <c r="I943" s="178"/>
      <c r="J943" s="179"/>
    </row>
    <row r="944" spans="7:10" s="114" customFormat="1" x14ac:dyDescent="0.2">
      <c r="G944" s="178"/>
      <c r="H944" s="178"/>
      <c r="I944" s="178"/>
      <c r="J944" s="179"/>
    </row>
    <row r="945" spans="7:10" s="114" customFormat="1" x14ac:dyDescent="0.2">
      <c r="G945" s="178"/>
      <c r="H945" s="178"/>
      <c r="I945" s="178"/>
      <c r="J945" s="179"/>
    </row>
    <row r="946" spans="7:10" s="114" customFormat="1" x14ac:dyDescent="0.2">
      <c r="G946" s="178"/>
      <c r="H946" s="178"/>
      <c r="I946" s="178"/>
      <c r="J946" s="179"/>
    </row>
    <row r="947" spans="7:10" s="114" customFormat="1" x14ac:dyDescent="0.2">
      <c r="G947" s="178"/>
      <c r="H947" s="178"/>
      <c r="I947" s="178"/>
      <c r="J947" s="179"/>
    </row>
    <row r="948" spans="7:10" s="114" customFormat="1" x14ac:dyDescent="0.2">
      <c r="G948" s="178"/>
      <c r="H948" s="178"/>
      <c r="I948" s="178"/>
      <c r="J948" s="179"/>
    </row>
    <row r="949" spans="7:10" s="114" customFormat="1" x14ac:dyDescent="0.2">
      <c r="G949" s="178"/>
      <c r="H949" s="178"/>
      <c r="I949" s="178"/>
      <c r="J949" s="179"/>
    </row>
    <row r="950" spans="7:10" s="114" customFormat="1" x14ac:dyDescent="0.2">
      <c r="G950" s="178"/>
      <c r="H950" s="178"/>
      <c r="I950" s="178"/>
      <c r="J950" s="179"/>
    </row>
    <row r="951" spans="7:10" s="114" customFormat="1" x14ac:dyDescent="0.2">
      <c r="G951" s="178"/>
      <c r="H951" s="178"/>
      <c r="I951" s="178"/>
      <c r="J951" s="179"/>
    </row>
    <row r="952" spans="7:10" s="114" customFormat="1" x14ac:dyDescent="0.2">
      <c r="G952" s="178"/>
      <c r="H952" s="178"/>
      <c r="I952" s="178"/>
      <c r="J952" s="179"/>
    </row>
    <row r="953" spans="7:10" s="114" customFormat="1" x14ac:dyDescent="0.2">
      <c r="G953" s="178"/>
      <c r="H953" s="178"/>
      <c r="I953" s="178"/>
      <c r="J953" s="179"/>
    </row>
    <row r="954" spans="7:10" s="114" customFormat="1" x14ac:dyDescent="0.2">
      <c r="G954" s="178"/>
      <c r="H954" s="178"/>
      <c r="I954" s="178"/>
      <c r="J954" s="179"/>
    </row>
    <row r="955" spans="7:10" s="114" customFormat="1" x14ac:dyDescent="0.2">
      <c r="G955" s="178"/>
      <c r="H955" s="178"/>
      <c r="I955" s="178"/>
      <c r="J955" s="179"/>
    </row>
    <row r="956" spans="7:10" s="114" customFormat="1" x14ac:dyDescent="0.2">
      <c r="G956" s="178"/>
      <c r="H956" s="178"/>
      <c r="I956" s="178"/>
      <c r="J956" s="179"/>
    </row>
    <row r="957" spans="7:10" s="114" customFormat="1" x14ac:dyDescent="0.2">
      <c r="G957" s="178"/>
      <c r="H957" s="178"/>
      <c r="I957" s="178"/>
      <c r="J957" s="179"/>
    </row>
    <row r="958" spans="7:10" s="114" customFormat="1" x14ac:dyDescent="0.2">
      <c r="G958" s="178"/>
      <c r="H958" s="178"/>
      <c r="I958" s="178"/>
      <c r="J958" s="179"/>
    </row>
    <row r="959" spans="7:10" s="114" customFormat="1" x14ac:dyDescent="0.2">
      <c r="G959" s="178"/>
      <c r="H959" s="178"/>
      <c r="I959" s="178"/>
      <c r="J959" s="179"/>
    </row>
    <row r="960" spans="7:10" s="114" customFormat="1" x14ac:dyDescent="0.2">
      <c r="G960" s="178"/>
      <c r="H960" s="178"/>
      <c r="I960" s="178"/>
      <c r="J960" s="179"/>
    </row>
    <row r="961" spans="7:10" s="114" customFormat="1" x14ac:dyDescent="0.2">
      <c r="G961" s="178"/>
      <c r="H961" s="178"/>
      <c r="I961" s="178"/>
      <c r="J961" s="179"/>
    </row>
    <row r="962" spans="7:10" s="114" customFormat="1" x14ac:dyDescent="0.2">
      <c r="G962" s="178"/>
      <c r="H962" s="178"/>
      <c r="I962" s="178"/>
      <c r="J962" s="179"/>
    </row>
    <row r="963" spans="7:10" s="114" customFormat="1" x14ac:dyDescent="0.2">
      <c r="G963" s="178"/>
      <c r="H963" s="178"/>
      <c r="I963" s="178"/>
      <c r="J963" s="179"/>
    </row>
    <row r="964" spans="7:10" s="114" customFormat="1" x14ac:dyDescent="0.2">
      <c r="G964" s="178"/>
      <c r="H964" s="178"/>
      <c r="I964" s="178"/>
      <c r="J964" s="179"/>
    </row>
    <row r="965" spans="7:10" s="114" customFormat="1" x14ac:dyDescent="0.2">
      <c r="G965" s="178"/>
      <c r="H965" s="178"/>
      <c r="I965" s="178"/>
      <c r="J965" s="179"/>
    </row>
    <row r="966" spans="7:10" s="114" customFormat="1" x14ac:dyDescent="0.2">
      <c r="G966" s="178"/>
      <c r="H966" s="178"/>
      <c r="I966" s="178"/>
      <c r="J966" s="179"/>
    </row>
    <row r="967" spans="7:10" s="114" customFormat="1" x14ac:dyDescent="0.2">
      <c r="G967" s="178"/>
      <c r="H967" s="178"/>
      <c r="I967" s="178"/>
      <c r="J967" s="179"/>
    </row>
    <row r="968" spans="7:10" s="114" customFormat="1" x14ac:dyDescent="0.2">
      <c r="G968" s="178"/>
      <c r="H968" s="178"/>
      <c r="I968" s="178"/>
      <c r="J968" s="179"/>
    </row>
    <row r="2967" spans="7:9" s="114" customFormat="1" x14ac:dyDescent="0.2">
      <c r="G2967" s="178"/>
      <c r="H2967" s="178"/>
      <c r="I2967" s="178"/>
    </row>
    <row r="2982" spans="1:14" x14ac:dyDescent="0.2">
      <c r="A2982" s="114"/>
      <c r="B2982" s="292"/>
      <c r="N2982" s="114"/>
    </row>
    <row r="2986" spans="1:14" x14ac:dyDescent="0.2">
      <c r="A2986" s="114"/>
      <c r="B2986" s="114"/>
      <c r="C2986" s="114"/>
      <c r="D2986" s="114"/>
      <c r="E2986" s="114"/>
      <c r="F2986" s="114"/>
      <c r="J2986" s="114"/>
      <c r="N2986" s="114"/>
    </row>
    <row r="3001" spans="1:10" x14ac:dyDescent="0.2">
      <c r="A3001" s="114"/>
      <c r="B3001" s="292"/>
      <c r="J3001" s="114"/>
    </row>
    <row r="3006" spans="1:10" x14ac:dyDescent="0.2">
      <c r="A3006" s="114"/>
    </row>
    <row r="3021" spans="1:14" x14ac:dyDescent="0.2">
      <c r="A3021" s="114"/>
      <c r="B3021" s="292"/>
      <c r="N3021" s="114"/>
    </row>
  </sheetData>
  <mergeCells count="56">
    <mergeCell ref="A210:M210"/>
    <mergeCell ref="A1:N2"/>
    <mergeCell ref="A3:N3"/>
    <mergeCell ref="A61:M61"/>
    <mergeCell ref="G80:H80"/>
    <mergeCell ref="A89:N90"/>
    <mergeCell ref="A91:N91"/>
    <mergeCell ref="A144:M144"/>
    <mergeCell ref="G151:H151"/>
    <mergeCell ref="G155:H155"/>
    <mergeCell ref="A163:N164"/>
    <mergeCell ref="A165:N165"/>
    <mergeCell ref="A390:N390"/>
    <mergeCell ref="A221:N222"/>
    <mergeCell ref="A223:N223"/>
    <mergeCell ref="A269:M269"/>
    <mergeCell ref="A292:N293"/>
    <mergeCell ref="A294:N294"/>
    <mergeCell ref="A327:M327"/>
    <mergeCell ref="A345:N346"/>
    <mergeCell ref="A347:N347"/>
    <mergeCell ref="A375:M375"/>
    <mergeCell ref="H383:J383"/>
    <mergeCell ref="A388:N389"/>
    <mergeCell ref="B560:C560"/>
    <mergeCell ref="A420:M420"/>
    <mergeCell ref="A435:N436"/>
    <mergeCell ref="A437:N437"/>
    <mergeCell ref="A489:M489"/>
    <mergeCell ref="B494:C494"/>
    <mergeCell ref="B497:C497"/>
    <mergeCell ref="B499:C499"/>
    <mergeCell ref="A505:N506"/>
    <mergeCell ref="A507:N507"/>
    <mergeCell ref="A552:M552"/>
    <mergeCell ref="B557:C557"/>
    <mergeCell ref="B679:C679"/>
    <mergeCell ref="B562:C562"/>
    <mergeCell ref="A567:N568"/>
    <mergeCell ref="A569:N569"/>
    <mergeCell ref="A616:M616"/>
    <mergeCell ref="B621:C621"/>
    <mergeCell ref="B622:C622"/>
    <mergeCell ref="B624:C624"/>
    <mergeCell ref="B626:C626"/>
    <mergeCell ref="A631:N632"/>
    <mergeCell ref="A633:N633"/>
    <mergeCell ref="A674:M674"/>
    <mergeCell ref="F784:L785"/>
    <mergeCell ref="F786:L786"/>
    <mergeCell ref="B680:C680"/>
    <mergeCell ref="B682:C682"/>
    <mergeCell ref="B684:C684"/>
    <mergeCell ref="A693:N694"/>
    <mergeCell ref="A695:N695"/>
    <mergeCell ref="A734:M7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2018</vt:lpstr>
      <vt:lpstr>PERIODO 2018 </vt:lpstr>
      <vt:lpstr>PERIODO 2019</vt:lpstr>
      <vt:lpstr>2020</vt:lpstr>
      <vt:lpstr>2021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SecreAdministracion</dc:creator>
  <cp:lastModifiedBy>UNSM</cp:lastModifiedBy>
  <dcterms:created xsi:type="dcterms:W3CDTF">2019-01-18T13:14:30Z</dcterms:created>
  <dcterms:modified xsi:type="dcterms:W3CDTF">2021-05-21T19:27:27Z</dcterms:modified>
</cp:coreProperties>
</file>