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1"/>
  <workbookPr autoCompressPictures="0"/>
  <mc:AlternateContent xmlns:mc="http://schemas.openxmlformats.org/markup-compatibility/2006">
    <mc:Choice Requires="x15">
      <x15ac:absPath xmlns:x15ac="http://schemas.microsoft.com/office/spreadsheetml/2010/11/ac" url="C:\Akos\0Admin\Website\"/>
    </mc:Choice>
  </mc:AlternateContent>
  <xr:revisionPtr revIDLastSave="0" documentId="13_ncr:1_{E587E191-43B6-40FE-B706-41C76E380229}" xr6:coauthVersionLast="36" xr6:coauthVersionMax="47" xr10:uidLastSave="{00000000-0000-0000-0000-000000000000}"/>
  <bookViews>
    <workbookView xWindow="0" yWindow="0" windowWidth="28710" windowHeight="13815" tabRatio="969" xr2:uid="{00000000-000D-0000-FFFF-FFFF00000000}"/>
  </bookViews>
  <sheets>
    <sheet name="Constants and Assumptions" sheetId="6" r:id="rId1"/>
    <sheet name="Calculations (ug)" sheetId="30" r:id="rId2"/>
    <sheet name="Calculations (cell number)" sheetId="31" r:id="rId3"/>
  </sheets>
  <calcPr calcId="191029"/>
</workbook>
</file>

<file path=xl/calcChain.xml><?xml version="1.0" encoding="utf-8"?>
<calcChain xmlns="http://schemas.openxmlformats.org/spreadsheetml/2006/main">
  <c r="L6" i="31" l="1"/>
  <c r="L10" i="31"/>
  <c r="L11" i="31"/>
  <c r="L9" i="31"/>
  <c r="O10" i="31"/>
  <c r="O11" i="31"/>
  <c r="O9" i="31"/>
  <c r="N10" i="31"/>
  <c r="N11" i="31"/>
  <c r="N9" i="31"/>
  <c r="M10" i="31"/>
  <c r="M11" i="31"/>
  <c r="M9" i="31"/>
  <c r="R7" i="31"/>
  <c r="O7" i="31"/>
  <c r="M7" i="31"/>
  <c r="U11" i="31" l="1"/>
  <c r="V11" i="31"/>
  <c r="V10" i="31"/>
  <c r="U10" i="31"/>
  <c r="S10" i="31"/>
  <c r="U9" i="31"/>
  <c r="S9" i="31"/>
  <c r="P11" i="31" l="1"/>
  <c r="Q11" i="31" s="1"/>
  <c r="W11" i="31" s="1"/>
  <c r="S11" i="31"/>
  <c r="P10" i="31"/>
  <c r="Q10" i="31" s="1"/>
  <c r="T9" i="31"/>
  <c r="V9" i="31"/>
  <c r="P9" i="31"/>
  <c r="Q9" i="31" s="1"/>
  <c r="T11" i="31"/>
  <c r="X11" i="31" s="1"/>
  <c r="T10" i="31"/>
  <c r="X10" i="31" s="1"/>
  <c r="N10" i="30"/>
  <c r="N11" i="30"/>
  <c r="N9" i="30"/>
  <c r="R11" i="31" l="1"/>
  <c r="R10" i="31"/>
  <c r="W10" i="31"/>
  <c r="Y10" i="31" s="1"/>
  <c r="X9" i="31"/>
  <c r="R9" i="31"/>
  <c r="W9" i="31"/>
  <c r="Y11" i="31"/>
  <c r="T11" i="30"/>
  <c r="T9" i="30"/>
  <c r="M9" i="30"/>
  <c r="O9" i="30"/>
  <c r="G28" i="6"/>
  <c r="G23" i="6"/>
  <c r="G10" i="6" s="1"/>
  <c r="O11" i="30"/>
  <c r="M11" i="30"/>
  <c r="L11" i="30"/>
  <c r="O10" i="30"/>
  <c r="M10" i="30"/>
  <c r="T10" i="30"/>
  <c r="U10" i="30"/>
  <c r="L10" i="30"/>
  <c r="L9" i="30"/>
  <c r="R37" i="6"/>
  <c r="S37" i="6"/>
  <c r="U37" i="6"/>
  <c r="T37" i="6"/>
  <c r="T38" i="6"/>
  <c r="T40" i="6"/>
  <c r="T41" i="6"/>
  <c r="T42" i="6"/>
  <c r="N55" i="6"/>
  <c r="R38" i="6"/>
  <c r="R39" i="6"/>
  <c r="R40" i="6"/>
  <c r="R45" i="6"/>
  <c r="R46" i="6"/>
  <c r="R47" i="6"/>
  <c r="R41" i="6"/>
  <c r="R42" i="6"/>
  <c r="U38" i="6"/>
  <c r="U39" i="6"/>
  <c r="U40" i="6"/>
  <c r="U45" i="6"/>
  <c r="U46" i="6"/>
  <c r="U47" i="6"/>
  <c r="U41" i="6"/>
  <c r="U42" i="6"/>
  <c r="S40" i="6"/>
  <c r="S45" i="6"/>
  <c r="T45" i="6"/>
  <c r="V45" i="6"/>
  <c r="S46" i="6"/>
  <c r="T46" i="6"/>
  <c r="V46" i="6" s="1"/>
  <c r="W46" i="6" s="1"/>
  <c r="X46" i="6" s="1"/>
  <c r="S47" i="6"/>
  <c r="T47" i="6"/>
  <c r="S41" i="6"/>
  <c r="S42" i="6"/>
  <c r="S38" i="6"/>
  <c r="V38" i="6" s="1"/>
  <c r="S39" i="6"/>
  <c r="V39" i="6" s="1"/>
  <c r="W39" i="6" s="1"/>
  <c r="X39" i="6" s="1"/>
  <c r="T39" i="6"/>
  <c r="Y9" i="31" l="1"/>
  <c r="V40" i="6"/>
  <c r="W40" i="6" s="1"/>
  <c r="X40" i="6" s="1"/>
  <c r="V42" i="6"/>
  <c r="W42" i="6" s="1"/>
  <c r="X42" i="6" s="1"/>
  <c r="G31" i="6"/>
  <c r="V47" i="6"/>
  <c r="W47" i="6" s="1"/>
  <c r="X47" i="6" s="1"/>
  <c r="W45" i="6"/>
  <c r="X45" i="6" s="1"/>
  <c r="G32" i="6"/>
  <c r="S9" i="30" s="1"/>
  <c r="V41" i="6"/>
  <c r="W41" i="6" s="1"/>
  <c r="X41" i="6" s="1"/>
  <c r="G29" i="6"/>
  <c r="P9" i="30" s="1"/>
  <c r="Q9" i="30" s="1"/>
  <c r="V37" i="6"/>
  <c r="W37" i="6" s="1"/>
  <c r="X37" i="6" s="1"/>
  <c r="U9" i="30"/>
  <c r="V10" i="30"/>
  <c r="X10" i="30" s="1"/>
  <c r="V9" i="30"/>
  <c r="X9" i="30" s="1"/>
  <c r="V11" i="30"/>
  <c r="P11" i="30"/>
  <c r="Q11" i="30" s="1"/>
  <c r="U11" i="30"/>
  <c r="W38" i="6"/>
  <c r="X38" i="6" s="1"/>
  <c r="G30" i="6"/>
  <c r="S11" i="30" l="1"/>
  <c r="S10" i="30"/>
  <c r="P10" i="30"/>
  <c r="Q10" i="30" s="1"/>
  <c r="X11" i="30"/>
  <c r="W11" i="30"/>
  <c r="R11" i="30"/>
  <c r="W10" i="30"/>
  <c r="Y10" i="30" s="1"/>
  <c r="R10" i="30"/>
  <c r="R9" i="30"/>
  <c r="W9" i="30"/>
  <c r="Y9" i="30" s="1"/>
  <c r="Y11" i="30" l="1"/>
</calcChain>
</file>

<file path=xl/sharedStrings.xml><?xml version="1.0" encoding="utf-8"?>
<sst xmlns="http://schemas.openxmlformats.org/spreadsheetml/2006/main" count="237" uniqueCount="154">
  <si>
    <t>cell type</t>
  </si>
  <si>
    <t>pH</t>
  </si>
  <si>
    <t>medium</t>
  </si>
  <si>
    <t>pK1 at 37°C</t>
  </si>
  <si>
    <t>(µg)</t>
  </si>
  <si>
    <t>(mpH/min)</t>
  </si>
  <si>
    <t>(pmol O2/min/µg protein)</t>
  </si>
  <si>
    <t>(pmol H+/min/µg protein)</t>
  </si>
  <si>
    <t>(pmol ATP/min/µg protein)</t>
  </si>
  <si>
    <t xml:space="preserve">protein </t>
  </si>
  <si>
    <t>in well</t>
  </si>
  <si>
    <t>CO2 -&gt; HCO3-</t>
  </si>
  <si>
    <t>total</t>
  </si>
  <si>
    <t>OCR</t>
  </si>
  <si>
    <t>oligo</t>
  </si>
  <si>
    <t>rot/myx</t>
  </si>
  <si>
    <t>ECAR</t>
  </si>
  <si>
    <t>mito</t>
  </si>
  <si>
    <t xml:space="preserve">OCR </t>
  </si>
  <si>
    <t>coupled</t>
  </si>
  <si>
    <t xml:space="preserve">PPR </t>
  </si>
  <si>
    <t>resp</t>
  </si>
  <si>
    <t>PPR</t>
  </si>
  <si>
    <t>glyc</t>
  </si>
  <si>
    <t>RATES OF ATP PRODUCTION FROM GLYCOLYSIS AND OXIDATIVE PHOSPHORYLATION</t>
  </si>
  <si>
    <t>DATA</t>
  </si>
  <si>
    <t>buffering power</t>
  </si>
  <si>
    <t>H+/O2 max</t>
  </si>
  <si>
    <t>CALCULATIONS</t>
  </si>
  <si>
    <t>ENTER VALUES in BLUE</t>
  </si>
  <si>
    <t>ASSUMPTIONS</t>
  </si>
  <si>
    <t>Correction for overestimation of proton leak after addition of oligomycin</t>
  </si>
  <si>
    <t>SUBSTRATE fully oxidized</t>
  </si>
  <si>
    <t>maximum H+/O2</t>
  </si>
  <si>
    <t>Pyruvate</t>
  </si>
  <si>
    <t>Palmitate</t>
  </si>
  <si>
    <t>pyruvate</t>
  </si>
  <si>
    <t xml:space="preserve">see Brand (2005) Biochem Soc Trans 33, 897 modified (unpublished) and Table 1 </t>
  </si>
  <si>
    <t>see Mookerjee et al (2015) BBA 1847, 171 and Table 1</t>
  </si>
  <si>
    <t>glutamine to lactate</t>
  </si>
  <si>
    <t>Glutamine to lactate</t>
  </si>
  <si>
    <t>glucose (mal/asp shuttle)</t>
  </si>
  <si>
    <t>glucose (GP shuttle)</t>
  </si>
  <si>
    <t>glycogen (mal/asp shuttle)</t>
  </si>
  <si>
    <t>glycogen (GP shuttle)</t>
  </si>
  <si>
    <t>palmitate</t>
  </si>
  <si>
    <t>glutamine to alanine (mal/asp shuttle)</t>
  </si>
  <si>
    <t>glutamine to alanine (GP shuttle)</t>
  </si>
  <si>
    <t>Glycogen (mal/asp shuttle)</t>
  </si>
  <si>
    <t>Glycogen (GP shuttle)</t>
  </si>
  <si>
    <t>Glucose (mal/asp shuttle)</t>
  </si>
  <si>
    <t>Glucose (GP shuttle)</t>
  </si>
  <si>
    <t>Glutamine to alanine (mal/asp shuttle)</t>
  </si>
  <si>
    <t>Glutamine to alanine (GP shuttle)</t>
  </si>
  <si>
    <t>P/O sum</t>
  </si>
  <si>
    <t>P/O attributable to ox phos only</t>
  </si>
  <si>
    <t>SUM (must be 1, edit proportions to eliminate negative rates)</t>
  </si>
  <si>
    <t>Proportions of substrates using O2 (H+/O2 and P/O calculated accordingly)</t>
  </si>
  <si>
    <t>CONSTANTS &amp; CONDITIONS</t>
  </si>
  <si>
    <t>see Brand (2005) Biochem Soc Trans 33, 897 modified (unpublished) and Table 1</t>
  </si>
  <si>
    <t>P/O attributable to glycolysis-to-pyruvate then TCA)</t>
  </si>
  <si>
    <t>activation</t>
  </si>
  <si>
    <t>ATP</t>
  </si>
  <si>
    <t>H+</t>
  </si>
  <si>
    <t>shuttle</t>
  </si>
  <si>
    <t>P/O ox phos only</t>
  </si>
  <si>
    <t>P/O TCA cycle</t>
  </si>
  <si>
    <t>P/O glycolysis-to-pyruvate</t>
  </si>
  <si>
    <t>C6H12O6 + 12[O] -&gt; 6HCO3- + 6H+</t>
  </si>
  <si>
    <t>C3H3O3- + 5[O] + H2O -&gt; 3HCO3- + 2H+</t>
  </si>
  <si>
    <t>C6H31O2 + 46[O] -&gt; 16HCO3- + 15H+</t>
  </si>
  <si>
    <t>20150811 ATP from glycolysis linked to respiration now uses OCRmito not OCRcoupled; Table 1 expanded to include rns and ATP from TCA; ATPoxphos calculated from OCRcoupled for oxphos plus OCRmito for TCA; ranges -&gt;SEM</t>
  </si>
  <si>
    <t>[O]</t>
  </si>
  <si>
    <t>used</t>
  </si>
  <si>
    <t>generated</t>
  </si>
  <si>
    <t xml:space="preserve">                           substrate-linked in TCA</t>
  </si>
  <si>
    <t xml:space="preserve">         aerobic glycolysis</t>
  </si>
  <si>
    <t>20150813 ATP to activate fatty acids now included in TCA reactions not oxphos as it occurs whether or not the mito are coupled</t>
  </si>
  <si>
    <t>C5H10N2O3 + 3[O] -&gt; C3H5O3- + H+ + 2HCO3- + 2NH4+</t>
  </si>
  <si>
    <t>C5H10N2O3 + 3[O] -&gt; C3H7NO2 + 2HCO3- + NH4+ + H+</t>
  </si>
  <si>
    <t>C6H10O5(n) + H2O + 12[O] -&gt; C6H10O5(n-1) + 6HCO3- + 6H+</t>
  </si>
  <si>
    <t>Mal/asp shuttle usually preferred over GP shuttle</t>
  </si>
  <si>
    <t>Pyruvate usually preferred over glucose if both are offered</t>
  </si>
  <si>
    <t>Fatty acids often present in serum, undialysed BSA</t>
  </si>
  <si>
    <t>Lactate usually the major product of glutamine oxidation</t>
  </si>
  <si>
    <t>Many cells lack glycogen. mal/asp shuttle usually preferred over GP shuttle</t>
  </si>
  <si>
    <t>NOTES</t>
  </si>
  <si>
    <t>see Affourtit and Brand (2009) Meth Enzymol 457, 405 Table 2, mean underestimate is 9.2%; median 6.8%, data mostly from hepatocytes</t>
  </si>
  <si>
    <t>Use measured value if available</t>
  </si>
  <si>
    <r>
      <rPr>
        <b/>
        <sz val="11"/>
        <color theme="1"/>
        <rFont val="Calibri"/>
        <family val="2"/>
        <scheme val="minor"/>
      </rPr>
      <t>Table 1. H+/O2 and P/O values for different substrates</t>
    </r>
    <r>
      <rPr>
        <sz val="11"/>
        <color theme="1"/>
        <rFont val="Calibri"/>
        <family val="2"/>
        <scheme val="minor"/>
      </rPr>
      <t>. H+/O2 data from Mookerjee et al (2015). P/O data and some H+/O2 data from Brand (2005) Biochem Soc Trans 33, 897 modified (unpublished)</t>
    </r>
  </si>
  <si>
    <t>This value is not expected to change</t>
  </si>
  <si>
    <t>TCA &amp; beta-oxidation</t>
  </si>
  <si>
    <r>
      <t>ENTER VALUES in BLUE</t>
    </r>
    <r>
      <rPr>
        <sz val="14"/>
        <rFont val="Calibri"/>
        <family val="2"/>
        <scheme val="minor"/>
      </rPr>
      <t>; fill down and reference in the results table as required</t>
    </r>
  </si>
  <si>
    <t>inverse as %</t>
  </si>
  <si>
    <t>P/O attributable to substrate-linked TCA cycle</t>
  </si>
  <si>
    <t xml:space="preserve"> (change in H+ from glycolysis/change in H+ from oxphos) at constant ATP demand (size of Crabtree effect, oligomycin effect, Warburg effect)</t>
  </si>
  <si>
    <t>SUBSTRATE partially oxidized</t>
  </si>
  <si>
    <t xml:space="preserve">Proportion of total glucose used in glycolysis </t>
  </si>
  <si>
    <t>Glucose to CO2 (PPP mode 1)</t>
  </si>
  <si>
    <t>Glucose to lactate + CO2 (PPP mode 2)</t>
  </si>
  <si>
    <t>C6H12O6 + 12NADP+ +12H2O -&gt; 12NADPH2 + 6HCO3- + 6H+</t>
  </si>
  <si>
    <t>C6H12O6 + 6NADP+ + 6H2O -&gt; 6NADPH2 + C3H5O3- + 3HCO3- + 4H+</t>
  </si>
  <si>
    <t>Glucose to lactate (glycolysis)</t>
  </si>
  <si>
    <t>H+/gluc from lactate</t>
  </si>
  <si>
    <t>H+/gluc from CO2</t>
  </si>
  <si>
    <t>C6H12O6 -&gt; 2C3H5O3- + 2H+</t>
  </si>
  <si>
    <t>fraction of non-OCR PPR from PPP CO2</t>
  </si>
  <si>
    <t>Table 2. Contribution of Pentose Phosphate Pathway fluxes to PPR</t>
  </si>
  <si>
    <r>
      <t xml:space="preserve">Proportion of total glucose used in </t>
    </r>
    <r>
      <rPr>
        <sz val="11"/>
        <color rgb="FFFF0000"/>
        <rFont val="Calibri"/>
        <family val="2"/>
        <scheme val="minor"/>
      </rPr>
      <t>PPP</t>
    </r>
    <r>
      <rPr>
        <sz val="11"/>
        <color theme="6" tint="-0.249977111117893"/>
        <rFont val="Calibri"/>
        <family val="2"/>
        <scheme val="minor"/>
      </rPr>
      <t xml:space="preserve"> mode 1 (fully oxidized to CO2) </t>
    </r>
  </si>
  <si>
    <r>
      <t xml:space="preserve">Proportion of total glucose used in </t>
    </r>
    <r>
      <rPr>
        <sz val="11"/>
        <color rgb="FFFF0000"/>
        <rFont val="Calibri"/>
        <family val="2"/>
        <scheme val="minor"/>
      </rPr>
      <t>PPP</t>
    </r>
    <r>
      <rPr>
        <sz val="11"/>
        <color theme="6" tint="-0.249977111117893"/>
        <rFont val="Calibri"/>
        <family val="2"/>
        <scheme val="minor"/>
      </rPr>
      <t xml:space="preserve"> mode 3 (all spare C to pentoses) </t>
    </r>
  </si>
  <si>
    <r>
      <t>Proportion of total glucose used in</t>
    </r>
    <r>
      <rPr>
        <sz val="11"/>
        <color rgb="FFFF0000"/>
        <rFont val="Calibri"/>
        <family val="2"/>
        <scheme val="minor"/>
      </rPr>
      <t xml:space="preserve"> PPP</t>
    </r>
    <r>
      <rPr>
        <sz val="11"/>
        <color theme="6" tint="-0.249977111117893"/>
        <rFont val="Calibri"/>
        <family val="2"/>
        <scheme val="minor"/>
      </rPr>
      <t xml:space="preserve"> mode 2 (all spare C to lactate) </t>
    </r>
  </si>
  <si>
    <t>Glucose to pentoseP- + CO2 (PPP mode 3)</t>
  </si>
  <si>
    <r>
      <t>C6H12O6 + 2NADP+ +2H2O -&gt; 2NADPH2 + C5H9O5</t>
    </r>
    <r>
      <rPr>
        <i/>
        <sz val="11"/>
        <color theme="6" tint="-0.249977111117893"/>
        <rFont val="Calibri"/>
        <family val="2"/>
        <scheme val="minor"/>
      </rPr>
      <t>P-</t>
    </r>
    <r>
      <rPr>
        <sz val="11"/>
        <color theme="6" tint="-0.249977111117893"/>
        <rFont val="Calibri"/>
        <family val="2"/>
        <scheme val="minor"/>
      </rPr>
      <t xml:space="preserve"> + HCO3- +2H+</t>
    </r>
  </si>
  <si>
    <t>Treatment</t>
  </si>
  <si>
    <t>KRPH</t>
  </si>
  <si>
    <t>basal</t>
  </si>
  <si>
    <t>total glycolytic ATP</t>
  </si>
  <si>
    <t>glycolysis to lactate</t>
  </si>
  <si>
    <t>glycolysis to pyruvate (then CO2)</t>
  </si>
  <si>
    <t>glycolytic NADH</t>
  </si>
  <si>
    <t>TCA red.eq.</t>
  </si>
  <si>
    <t>TCA ATP</t>
  </si>
  <si>
    <t>total oxidative ATP</t>
  </si>
  <si>
    <r>
      <t>SUM ATP</t>
    </r>
    <r>
      <rPr>
        <vertAlign val="subscript"/>
        <sz val="11"/>
        <color theme="1"/>
        <rFont val="Calibri"/>
        <family val="2"/>
        <scheme val="minor"/>
      </rPr>
      <t>glyc</t>
    </r>
  </si>
  <si>
    <r>
      <t>SUM ATP</t>
    </r>
    <r>
      <rPr>
        <vertAlign val="subscript"/>
        <sz val="11"/>
        <color theme="1"/>
        <rFont val="Calibri"/>
        <family val="2"/>
        <scheme val="minor"/>
      </rPr>
      <t>ox</t>
    </r>
  </si>
  <si>
    <t>Summed ATP by source</t>
  </si>
  <si>
    <t>at condition</t>
  </si>
  <si>
    <t>per ug</t>
  </si>
  <si>
    <r>
      <t>JATP</t>
    </r>
    <r>
      <rPr>
        <vertAlign val="subscript"/>
        <sz val="11"/>
        <color theme="1"/>
        <rFont val="Calibri"/>
        <family val="2"/>
        <scheme val="minor"/>
      </rPr>
      <t>tot</t>
    </r>
  </si>
  <si>
    <t>well #</t>
  </si>
  <si>
    <t>–</t>
  </si>
  <si>
    <t>B02</t>
  </si>
  <si>
    <t>C02</t>
  </si>
  <si>
    <t>D02</t>
  </si>
  <si>
    <t>description, expand or delete columns here as appropriate</t>
  </si>
  <si>
    <t>LABELS in GREEN</t>
  </si>
  <si>
    <t>substrate (enter proportions below under 'Assumptions')</t>
  </si>
  <si>
    <t>20150813 There's a slight error when correcting for non-ionized CO2 in the well when using glutamine to alanine, since CO2 is different from H+ due to ammonium ion formation. Strictly this should be dealt with by using a different scaling when this occurs (and also correcting for the pKa of NH4+, 8.968 in isotonic saline 37C (W Lang 1998)), but the effect is minor unless only glutamine is oxidized so I haven't bothered to do it</t>
  </si>
  <si>
    <t>Version history and notes</t>
  </si>
  <si>
    <t>09/13/2023 revision, see version history at the bottom</t>
  </si>
  <si>
    <t>20151222 Error in calcn of H/O corrected by SAM</t>
  </si>
  <si>
    <t>20160106 Separated substrates fully oxidized from substrates partially oxidized; added Table 2, coded PPR effects on next sheet. Note 1, no allowance made for PPP flux to pyruvate then making ATP etc in TCA cycle. Note 2, error not yet dealt with in ATP from PPR to lactate, currently counted as full glycolytic yield. Note 3, ATP consumed by hexokinase to run PPP to pentoses assumed to be an ATP consumer and not calculated here (for other modes ATP balances)</t>
  </si>
  <si>
    <t>2018-2020 Undocumented changes?</t>
  </si>
  <si>
    <t>label</t>
  </si>
  <si>
    <t>(pmol O2/min/well)</t>
  </si>
  <si>
    <t>(# of cells)</t>
  </si>
  <si>
    <t>Normalization factor:</t>
  </si>
  <si>
    <t>Cells</t>
  </si>
  <si>
    <t>[mock values]</t>
  </si>
  <si>
    <t>20151030 Added (change in H+ from glycolysis/change in H+ from ox phos)</t>
  </si>
  <si>
    <t>20230913 Changes to how "CONSTANTS &amp; CONDITIONS" looks, including auto filling the substrates field based on the fractions in the assumptions, added cell-number normalized calculation worksheets by AAG</t>
  </si>
  <si>
    <t>See "Buffering_power_2023.xlsx" for calculation</t>
  </si>
  <si>
    <t>(mpH/pmol H+/sensor volume)</t>
  </si>
  <si>
    <t>Cite: Mookerjee SA, Gerencser AA, Nicholls DG, Brand MD. Quantifying intracellular rates of glycolytic and oxidative ATP production and consumption using extracellular flux measurements. Journal of Biological Chemistry. 2017;292(17):7189-207. Epub 20170307. doi: 10.1074/jbc.M116.774471. PubMed PMID: 28270511; PMCID: PMC5409486.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</si>
</sst>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4" x14ac:knownFonts="1">
    <font>
      <sz val="11"/>
      <color theme="1"/>
      <name val="Calibri"/>
      <family val="2"/>
      <scheme val="minor"/>
    </font>
    <font>
      <sz val="11"/>
      <color rgb="FFFF0000"/>
      <name val="Calibri"/>
      <family val="2"/>
      <scheme val="minor"/>
    </font>
    <font>
      <sz val="10"/>
      <name val="Arial"/>
      <family val="2"/>
    </font>
    <font>
      <sz val="11"/>
      <name val="Calibri"/>
      <family val="2"/>
      <scheme val="minor"/>
    </font>
    <font>
      <b/>
      <sz val="11"/>
      <color rgb="FFFF0000"/>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3366FF"/>
      <name val="Calibri"/>
      <family val="2"/>
      <scheme val="minor"/>
    </font>
    <font>
      <b/>
      <sz val="14"/>
      <color theme="1"/>
      <name val="Calibri"/>
      <family val="2"/>
      <scheme val="minor"/>
    </font>
    <font>
      <b/>
      <sz val="11"/>
      <color theme="1"/>
      <name val="Calibri"/>
      <family val="2"/>
      <scheme val="minor"/>
    </font>
    <font>
      <b/>
      <sz val="11"/>
      <color rgb="FF0000FF"/>
      <name val="Calibri"/>
      <family val="2"/>
      <scheme val="minor"/>
    </font>
    <font>
      <b/>
      <sz val="14"/>
      <color rgb="FF0000FF"/>
      <name val="Calibri"/>
      <family val="2"/>
      <scheme val="minor"/>
    </font>
    <font>
      <sz val="14"/>
      <name val="Calibri"/>
      <family val="2"/>
      <scheme val="minor"/>
    </font>
    <font>
      <b/>
      <sz val="11"/>
      <color theme="6" tint="-0.249977111117893"/>
      <name val="Calibri"/>
      <family val="2"/>
      <scheme val="minor"/>
    </font>
    <font>
      <sz val="11"/>
      <color theme="6" tint="-0.249977111117893"/>
      <name val="Calibri"/>
      <family val="2"/>
      <scheme val="minor"/>
    </font>
    <font>
      <i/>
      <sz val="11"/>
      <color theme="6" tint="-0.249977111117893"/>
      <name val="Calibri"/>
      <family val="2"/>
      <scheme val="minor"/>
    </font>
    <font>
      <vertAlign val="subscript"/>
      <sz val="11"/>
      <color theme="1"/>
      <name val="Calibri"/>
      <family val="2"/>
      <scheme val="minor"/>
    </font>
    <font>
      <b/>
      <sz val="11"/>
      <color theme="8"/>
      <name val="Calibri"/>
      <family val="2"/>
      <scheme val="minor"/>
    </font>
    <font>
      <b/>
      <sz val="11"/>
      <color rgb="FF660066"/>
      <name val="Calibri"/>
      <family val="2"/>
      <scheme val="minor"/>
    </font>
    <font>
      <b/>
      <sz val="14"/>
      <color rgb="FF00B050"/>
      <name val="Calibri"/>
      <family val="2"/>
      <scheme val="minor"/>
    </font>
    <font>
      <b/>
      <sz val="11"/>
      <color rgb="FF00B050"/>
      <name val="Calibri"/>
      <family val="2"/>
      <scheme val="minor"/>
    </font>
    <font>
      <b/>
      <sz val="11"/>
      <name val="Calibri"/>
      <family val="2"/>
      <scheme val="minor"/>
    </font>
    <font>
      <b/>
      <sz val="11"/>
      <color rgb="FF0066FF"/>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6"/>
        <bgColor indexed="64"/>
      </patternFill>
    </fill>
    <fill>
      <patternFill patternType="solid">
        <fgColor theme="9"/>
        <bgColor indexed="64"/>
      </patternFill>
    </fill>
    <fill>
      <patternFill patternType="solid">
        <fgColor theme="2"/>
        <bgColor indexed="64"/>
      </patternFill>
    </fill>
    <fill>
      <patternFill patternType="solid">
        <fgColor rgb="FFCCFFCC"/>
        <bgColor indexed="64"/>
      </patternFill>
    </fill>
  </fills>
  <borders count="1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2841">
    <xf numFmtId="0" fontId="0" fillId="0" borderId="0"/>
    <xf numFmtId="0" fontId="2" fillId="0" borderId="0"/>
    <xf numFmtId="9" fontId="5"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56">
    <xf numFmtId="0" fontId="0" fillId="0" borderId="0" xfId="0"/>
    <xf numFmtId="0" fontId="0" fillId="0" borderId="0" xfId="0" applyAlignment="1">
      <alignment horizontal="center"/>
    </xf>
    <xf numFmtId="0" fontId="8" fillId="0" borderId="0" xfId="0" applyFont="1"/>
    <xf numFmtId="0" fontId="0" fillId="0" borderId="0" xfId="0" applyBorder="1"/>
    <xf numFmtId="0" fontId="0" fillId="0" borderId="0" xfId="0" applyAlignment="1">
      <alignment horizontal="left"/>
    </xf>
    <xf numFmtId="0" fontId="9" fillId="0" borderId="0" xfId="0" applyFont="1" applyAlignment="1">
      <alignment horizontal="left"/>
    </xf>
    <xf numFmtId="0" fontId="0" fillId="0" borderId="2" xfId="0" applyBorder="1"/>
    <xf numFmtId="0" fontId="0" fillId="0" borderId="3" xfId="0" applyBorder="1"/>
    <xf numFmtId="0" fontId="0" fillId="0" borderId="4" xfId="0" applyBorder="1" applyAlignment="1">
      <alignment horizontal="center"/>
    </xf>
    <xf numFmtId="0" fontId="10" fillId="0" borderId="1" xfId="0" applyFont="1" applyBorder="1"/>
    <xf numFmtId="164" fontId="3" fillId="0" borderId="4" xfId="0" applyNumberFormat="1" applyFont="1" applyBorder="1" applyAlignment="1">
      <alignment horizontal="center"/>
    </xf>
    <xf numFmtId="164" fontId="3" fillId="0" borderId="0" xfId="0" applyNumberFormat="1" applyFont="1" applyBorder="1" applyAlignment="1">
      <alignment horizontal="center"/>
    </xf>
    <xf numFmtId="0" fontId="0" fillId="0" borderId="5" xfId="0" applyBorder="1"/>
    <xf numFmtId="0" fontId="11" fillId="0" borderId="0" xfId="0" applyFont="1" applyBorder="1" applyAlignment="1">
      <alignment horizontal="center"/>
    </xf>
    <xf numFmtId="2" fontId="11" fillId="0" borderId="0" xfId="0" applyNumberFormat="1" applyFont="1" applyBorder="1" applyAlignment="1">
      <alignment horizontal="center"/>
    </xf>
    <xf numFmtId="0" fontId="12" fillId="0" borderId="0" xfId="0" applyFont="1" applyAlignment="1">
      <alignment horizontal="left"/>
    </xf>
    <xf numFmtId="0" fontId="10" fillId="7" borderId="1" xfId="0" applyFont="1" applyFill="1" applyBorder="1" applyAlignment="1">
      <alignment horizontal="left"/>
    </xf>
    <xf numFmtId="0" fontId="0" fillId="7" borderId="2" xfId="0" applyFill="1" applyBorder="1" applyAlignment="1">
      <alignment horizontal="left"/>
    </xf>
    <xf numFmtId="0" fontId="0" fillId="7" borderId="2" xfId="0" applyFill="1" applyBorder="1"/>
    <xf numFmtId="0" fontId="0" fillId="7" borderId="3" xfId="0" applyFill="1" applyBorder="1"/>
    <xf numFmtId="0" fontId="0" fillId="7" borderId="4" xfId="0" applyFill="1" applyBorder="1" applyAlignment="1">
      <alignment horizontal="left"/>
    </xf>
    <xf numFmtId="0" fontId="0" fillId="7" borderId="0" xfId="0" applyFill="1" applyBorder="1" applyAlignment="1">
      <alignment horizontal="left"/>
    </xf>
    <xf numFmtId="0" fontId="11" fillId="7" borderId="0" xfId="0" applyFont="1" applyFill="1" applyBorder="1" applyAlignment="1">
      <alignment horizontal="left"/>
    </xf>
    <xf numFmtId="0" fontId="0" fillId="7" borderId="0" xfId="0" applyFill="1" applyBorder="1"/>
    <xf numFmtId="0" fontId="0" fillId="7" borderId="5" xfId="0" applyFill="1" applyBorder="1"/>
    <xf numFmtId="0" fontId="0" fillId="7" borderId="4" xfId="0" applyFill="1" applyBorder="1"/>
    <xf numFmtId="0" fontId="0" fillId="7" borderId="6" xfId="0" applyFill="1" applyBorder="1" applyAlignment="1">
      <alignment horizontal="left"/>
    </xf>
    <xf numFmtId="0" fontId="0" fillId="7" borderId="7" xfId="0" applyFill="1" applyBorder="1" applyAlignment="1">
      <alignment horizontal="left"/>
    </xf>
    <xf numFmtId="0" fontId="0" fillId="7" borderId="7" xfId="0" applyFill="1" applyBorder="1"/>
    <xf numFmtId="0" fontId="0" fillId="7" borderId="8" xfId="0" applyFill="1" applyBorder="1"/>
    <xf numFmtId="0" fontId="10" fillId="6" borderId="1" xfId="0" applyFont="1" applyFill="1" applyBorder="1" applyAlignment="1">
      <alignment horizontal="center"/>
    </xf>
    <xf numFmtId="0" fontId="0" fillId="6" borderId="2" xfId="0" applyFill="1" applyBorder="1"/>
    <xf numFmtId="0" fontId="0" fillId="6" borderId="3" xfId="0" applyFill="1" applyBorder="1"/>
    <xf numFmtId="0" fontId="0" fillId="6" borderId="4" xfId="0" applyFill="1" applyBorder="1" applyAlignment="1">
      <alignment horizontal="left"/>
    </xf>
    <xf numFmtId="0" fontId="0" fillId="6" borderId="0" xfId="0" applyFill="1" applyBorder="1"/>
    <xf numFmtId="0" fontId="0" fillId="6" borderId="5" xfId="0" applyFill="1" applyBorder="1"/>
    <xf numFmtId="0" fontId="0" fillId="6" borderId="4" xfId="0" applyFill="1" applyBorder="1" applyAlignment="1">
      <alignment horizontal="center"/>
    </xf>
    <xf numFmtId="0" fontId="0" fillId="6" borderId="0" xfId="0" applyFill="1" applyBorder="1" applyAlignment="1">
      <alignment horizontal="left"/>
    </xf>
    <xf numFmtId="0" fontId="1" fillId="6" borderId="0" xfId="0" applyFont="1" applyFill="1" applyBorder="1"/>
    <xf numFmtId="0" fontId="0" fillId="6" borderId="6" xfId="0" applyFill="1" applyBorder="1" applyAlignment="1">
      <alignment horizontal="left"/>
    </xf>
    <xf numFmtId="0" fontId="0" fillId="6" borderId="7" xfId="0" applyFill="1" applyBorder="1"/>
    <xf numFmtId="0" fontId="0" fillId="6" borderId="8" xfId="0" applyFill="1" applyBorder="1"/>
    <xf numFmtId="0" fontId="0" fillId="5" borderId="1" xfId="0" applyFill="1" applyBorder="1" applyAlignment="1">
      <alignment horizontal="left"/>
    </xf>
    <xf numFmtId="0" fontId="0" fillId="5" borderId="2" xfId="0" applyFill="1" applyBorder="1"/>
    <xf numFmtId="0" fontId="0" fillId="5" borderId="3" xfId="0" applyFill="1" applyBorder="1"/>
    <xf numFmtId="0" fontId="0" fillId="5" borderId="4" xfId="0" applyFill="1" applyBorder="1"/>
    <xf numFmtId="0" fontId="0" fillId="5" borderId="0" xfId="0" applyFill="1" applyBorder="1" applyAlignment="1"/>
    <xf numFmtId="0" fontId="0" fillId="5" borderId="0" xfId="0" applyFill="1" applyBorder="1"/>
    <xf numFmtId="0" fontId="0" fillId="5" borderId="0" xfId="0" applyFill="1" applyBorder="1" applyAlignment="1">
      <alignment horizontal="left"/>
    </xf>
    <xf numFmtId="0" fontId="0" fillId="5" borderId="4" xfId="0" applyFill="1" applyBorder="1" applyAlignment="1"/>
    <xf numFmtId="165" fontId="0" fillId="5" borderId="0" xfId="0" applyNumberFormat="1" applyFill="1" applyBorder="1" applyAlignment="1">
      <alignment horizontal="center"/>
    </xf>
    <xf numFmtId="0" fontId="0" fillId="5" borderId="7" xfId="0" applyFill="1" applyBorder="1"/>
    <xf numFmtId="0" fontId="0" fillId="5" borderId="7" xfId="0" applyFill="1" applyBorder="1" applyAlignment="1">
      <alignment horizontal="center"/>
    </xf>
    <xf numFmtId="165" fontId="0" fillId="5" borderId="7" xfId="0" applyNumberFormat="1" applyFill="1" applyBorder="1" applyAlignment="1">
      <alignment horizontal="center"/>
    </xf>
    <xf numFmtId="165" fontId="11" fillId="6" borderId="0" xfId="0" applyNumberFormat="1" applyFont="1" applyFill="1" applyBorder="1" applyAlignment="1">
      <alignment horizontal="left"/>
    </xf>
    <xf numFmtId="165" fontId="1" fillId="6" borderId="0" xfId="0" applyNumberFormat="1" applyFont="1" applyFill="1" applyBorder="1" applyAlignment="1">
      <alignment horizontal="left"/>
    </xf>
    <xf numFmtId="0" fontId="0" fillId="8" borderId="0" xfId="0" applyFill="1" applyBorder="1" applyAlignment="1">
      <alignment horizontal="center"/>
    </xf>
    <xf numFmtId="0" fontId="0" fillId="9" borderId="0" xfId="0" applyFill="1" applyBorder="1" applyAlignment="1">
      <alignment horizontal="left"/>
    </xf>
    <xf numFmtId="0" fontId="0" fillId="9" borderId="0" xfId="0" applyFill="1" applyBorder="1" applyAlignment="1">
      <alignment horizontal="right"/>
    </xf>
    <xf numFmtId="2" fontId="0" fillId="9" borderId="0" xfId="0" applyNumberFormat="1" applyFill="1" applyBorder="1" applyAlignment="1">
      <alignment horizontal="center"/>
    </xf>
    <xf numFmtId="2" fontId="0" fillId="9" borderId="7" xfId="0" applyNumberFormat="1" applyFill="1" applyBorder="1" applyAlignment="1">
      <alignment horizontal="center"/>
    </xf>
    <xf numFmtId="0" fontId="0" fillId="9" borderId="5" xfId="0" applyFill="1" applyBorder="1" applyAlignment="1">
      <alignment horizontal="center"/>
    </xf>
    <xf numFmtId="165" fontId="0" fillId="9" borderId="5" xfId="0" applyNumberFormat="1" applyFill="1" applyBorder="1" applyAlignment="1">
      <alignment horizontal="center"/>
    </xf>
    <xf numFmtId="165" fontId="0" fillId="9" borderId="8" xfId="0" applyNumberFormat="1" applyFill="1" applyBorder="1" applyAlignment="1">
      <alignment horizontal="center"/>
    </xf>
    <xf numFmtId="165" fontId="3" fillId="10" borderId="0" xfId="0" applyNumberFormat="1" applyFont="1" applyFill="1" applyBorder="1" applyAlignment="1">
      <alignment horizontal="left"/>
    </xf>
    <xf numFmtId="165" fontId="0" fillId="10" borderId="0" xfId="0" applyNumberFormat="1" applyFill="1" applyBorder="1" applyAlignment="1">
      <alignment horizontal="left"/>
    </xf>
    <xf numFmtId="165" fontId="0" fillId="10" borderId="7" xfId="0" applyNumberFormat="1" applyFill="1" applyBorder="1" applyAlignment="1">
      <alignment horizontal="left"/>
    </xf>
    <xf numFmtId="2" fontId="0" fillId="0" borderId="0" xfId="0" applyNumberFormat="1"/>
    <xf numFmtId="9" fontId="0" fillId="0" borderId="0" xfId="2" applyFont="1"/>
    <xf numFmtId="0" fontId="0" fillId="5" borderId="0" xfId="0" applyFill="1" applyBorder="1" applyAlignment="1">
      <alignment horizontal="center"/>
    </xf>
    <xf numFmtId="0" fontId="0" fillId="5" borderId="4" xfId="0" applyFill="1" applyBorder="1" applyAlignment="1">
      <alignment horizontal="left"/>
    </xf>
    <xf numFmtId="0" fontId="0" fillId="5" borderId="6" xfId="0" applyFill="1" applyBorder="1"/>
    <xf numFmtId="0" fontId="0" fillId="0" borderId="0" xfId="0" applyFill="1" applyBorder="1"/>
    <xf numFmtId="0" fontId="0" fillId="0" borderId="0" xfId="0" applyFill="1" applyBorder="1" applyAlignment="1">
      <alignment horizontal="center"/>
    </xf>
    <xf numFmtId="2" fontId="0" fillId="0" borderId="0" xfId="0" applyNumberFormat="1" applyFill="1" applyBorder="1" applyAlignment="1">
      <alignment horizontal="center"/>
    </xf>
    <xf numFmtId="0" fontId="0" fillId="0" borderId="0" xfId="0" applyFill="1"/>
    <xf numFmtId="0" fontId="1" fillId="0" borderId="0" xfId="0" applyFont="1" applyFill="1" applyBorder="1"/>
    <xf numFmtId="165" fontId="11" fillId="0" borderId="0" xfId="0" applyNumberFormat="1" applyFont="1" applyFill="1" applyBorder="1" applyAlignment="1">
      <alignment horizontal="left"/>
    </xf>
    <xf numFmtId="0" fontId="0" fillId="0" borderId="5" xfId="0" applyFill="1" applyBorder="1"/>
    <xf numFmtId="0" fontId="0" fillId="0" borderId="4" xfId="0" applyFill="1" applyBorder="1" applyAlignment="1">
      <alignment horizontal="center"/>
    </xf>
    <xf numFmtId="165" fontId="1" fillId="0" borderId="0" xfId="0" applyNumberFormat="1" applyFont="1" applyFill="1" applyBorder="1" applyAlignment="1">
      <alignment horizontal="left"/>
    </xf>
    <xf numFmtId="0" fontId="14" fillId="0" borderId="1" xfId="0" applyFont="1" applyFill="1" applyBorder="1"/>
    <xf numFmtId="0" fontId="15" fillId="0" borderId="2" xfId="0" applyFont="1" applyFill="1" applyBorder="1"/>
    <xf numFmtId="0" fontId="15" fillId="0" borderId="2" xfId="0" applyFont="1" applyFill="1" applyBorder="1" applyAlignment="1">
      <alignment horizontal="center"/>
    </xf>
    <xf numFmtId="0" fontId="15" fillId="0" borderId="3" xfId="0" applyFont="1" applyFill="1" applyBorder="1" applyAlignment="1">
      <alignment horizontal="center"/>
    </xf>
    <xf numFmtId="2" fontId="15" fillId="0" borderId="0" xfId="0" applyNumberFormat="1" applyFont="1" applyFill="1"/>
    <xf numFmtId="9" fontId="15" fillId="0" borderId="0" xfId="2" applyFont="1" applyFill="1"/>
    <xf numFmtId="0" fontId="15" fillId="0" borderId="0" xfId="0" applyFont="1" applyFill="1"/>
    <xf numFmtId="0" fontId="15" fillId="0" borderId="4" xfId="0" applyFont="1" applyFill="1" applyBorder="1"/>
    <xf numFmtId="0" fontId="15" fillId="0" borderId="0" xfId="0" applyFont="1" applyFill="1" applyBorder="1"/>
    <xf numFmtId="0" fontId="15" fillId="0" borderId="0" xfId="0" applyFont="1" applyFill="1" applyBorder="1" applyAlignment="1">
      <alignment horizontal="center"/>
    </xf>
    <xf numFmtId="0" fontId="15" fillId="0" borderId="0" xfId="0" applyFont="1" applyFill="1" applyBorder="1" applyAlignment="1">
      <alignment horizontal="left"/>
    </xf>
    <xf numFmtId="0" fontId="15" fillId="0" borderId="5" xfId="0" applyFont="1" applyFill="1" applyBorder="1" applyAlignment="1">
      <alignment horizontal="center"/>
    </xf>
    <xf numFmtId="165" fontId="15" fillId="0" borderId="0" xfId="0" applyNumberFormat="1" applyFont="1" applyFill="1" applyBorder="1" applyAlignment="1">
      <alignment horizontal="center"/>
    </xf>
    <xf numFmtId="165" fontId="15" fillId="0" borderId="5" xfId="0" applyNumberFormat="1" applyFont="1" applyFill="1" applyBorder="1" applyAlignment="1">
      <alignment horizontal="center"/>
    </xf>
    <xf numFmtId="0" fontId="15" fillId="0" borderId="6" xfId="0" applyFont="1" applyFill="1" applyBorder="1"/>
    <xf numFmtId="0" fontId="15" fillId="0" borderId="7" xfId="0" applyFont="1" applyFill="1" applyBorder="1"/>
    <xf numFmtId="0" fontId="15" fillId="0" borderId="7" xfId="0" applyFont="1" applyFill="1" applyBorder="1" applyAlignment="1">
      <alignment horizontal="center"/>
    </xf>
    <xf numFmtId="2" fontId="15" fillId="0" borderId="7" xfId="0" applyNumberFormat="1" applyFont="1" applyFill="1" applyBorder="1" applyAlignment="1">
      <alignment horizontal="center"/>
    </xf>
    <xf numFmtId="0" fontId="15" fillId="0" borderId="8" xfId="0" applyFont="1" applyFill="1" applyBorder="1" applyAlignment="1">
      <alignment horizontal="center"/>
    </xf>
    <xf numFmtId="0" fontId="10" fillId="0" borderId="0" xfId="0" applyFont="1" applyFill="1" applyBorder="1"/>
    <xf numFmtId="0" fontId="4" fillId="0" borderId="0" xfId="0" applyFont="1" applyFill="1" applyBorder="1" applyAlignment="1">
      <alignment horizontal="right"/>
    </xf>
    <xf numFmtId="0" fontId="4" fillId="6" borderId="0" xfId="0" applyFont="1" applyFill="1" applyBorder="1" applyAlignment="1">
      <alignment horizontal="right"/>
    </xf>
    <xf numFmtId="0" fontId="15" fillId="0" borderId="4" xfId="0" applyFont="1" applyFill="1" applyBorder="1" applyAlignment="1">
      <alignment horizontal="left"/>
    </xf>
    <xf numFmtId="0" fontId="15" fillId="0" borderId="0" xfId="0" applyFont="1" applyFill="1" applyBorder="1" applyAlignment="1">
      <alignment horizontal="right"/>
    </xf>
    <xf numFmtId="0" fontId="1" fillId="0" borderId="0" xfId="0" applyFont="1" applyFill="1" applyBorder="1" applyAlignment="1">
      <alignment horizontal="center"/>
    </xf>
    <xf numFmtId="0" fontId="0" fillId="0" borderId="0" xfId="0" applyBorder="1" applyAlignment="1">
      <alignment horizontal="center" wrapText="1"/>
    </xf>
    <xf numFmtId="0" fontId="10" fillId="0" borderId="0" xfId="0" applyFont="1" applyBorder="1" applyAlignment="1">
      <alignment horizontal="left"/>
    </xf>
    <xf numFmtId="2" fontId="0" fillId="0" borderId="0" xfId="0" applyNumberFormat="1" applyFill="1"/>
    <xf numFmtId="9" fontId="0" fillId="0" borderId="0" xfId="2" applyFont="1" applyFill="1"/>
    <xf numFmtId="0" fontId="0" fillId="0" borderId="0" xfId="0" applyAlignment="1">
      <alignment horizontal="center"/>
    </xf>
    <xf numFmtId="0" fontId="0" fillId="6" borderId="0" xfId="0" applyFill="1" applyBorder="1" applyAlignment="1"/>
    <xf numFmtId="2" fontId="3" fillId="0" borderId="0" xfId="0" applyNumberFormat="1" applyFont="1" applyBorder="1" applyAlignment="1">
      <alignment horizontal="center"/>
    </xf>
    <xf numFmtId="164" fontId="18" fillId="0" borderId="0" xfId="0" applyNumberFormat="1" applyFont="1" applyBorder="1" applyAlignment="1">
      <alignment horizontal="center"/>
    </xf>
    <xf numFmtId="164" fontId="0" fillId="0" borderId="0" xfId="0" applyNumberFormat="1" applyFill="1" applyAlignment="1">
      <alignment horizontal="center"/>
    </xf>
    <xf numFmtId="0" fontId="0" fillId="0" borderId="5" xfId="0" applyFill="1" applyBorder="1" applyAlignment="1">
      <alignment horizontal="center" wrapText="1"/>
    </xf>
    <xf numFmtId="2" fontId="4" fillId="0" borderId="0" xfId="0" applyNumberFormat="1" applyFont="1" applyBorder="1" applyAlignment="1">
      <alignment horizontal="center"/>
    </xf>
    <xf numFmtId="0" fontId="0" fillId="0" borderId="2" xfId="0" applyBorder="1" applyAlignment="1">
      <alignment horizontal="center"/>
    </xf>
    <xf numFmtId="2" fontId="19" fillId="0" borderId="0" xfId="0" applyNumberFormat="1" applyFont="1" applyBorder="1" applyAlignment="1">
      <alignment horizontal="center"/>
    </xf>
    <xf numFmtId="0" fontId="0" fillId="6" borderId="5" xfId="0" applyFill="1" applyBorder="1" applyAlignment="1">
      <alignment horizontal="center"/>
    </xf>
    <xf numFmtId="0" fontId="10" fillId="0" borderId="0" xfId="0" applyFont="1" applyAlignment="1">
      <alignment horizontal="center"/>
    </xf>
    <xf numFmtId="2" fontId="0" fillId="2" borderId="9" xfId="0" applyNumberFormat="1" applyFill="1" applyBorder="1"/>
    <xf numFmtId="2" fontId="0" fillId="5" borderId="9" xfId="0" applyNumberFormat="1" applyFill="1" applyBorder="1"/>
    <xf numFmtId="0" fontId="0" fillId="0" borderId="0" xfId="0" applyBorder="1" applyAlignment="1">
      <alignment horizontal="center"/>
    </xf>
    <xf numFmtId="0" fontId="0" fillId="6" borderId="0" xfId="0" applyFill="1" applyBorder="1" applyAlignment="1">
      <alignment horizontal="center"/>
    </xf>
    <xf numFmtId="14" fontId="3" fillId="14" borderId="0" xfId="0" applyNumberFormat="1" applyFont="1" applyFill="1" applyBorder="1" applyAlignment="1">
      <alignment horizontal="center"/>
    </xf>
    <xf numFmtId="0" fontId="0" fillId="0" borderId="0" xfId="0" applyBorder="1" applyAlignment="1">
      <alignment horizontal="center" wrapText="1"/>
    </xf>
    <xf numFmtId="0" fontId="3" fillId="0" borderId="0" xfId="0" applyFont="1" applyAlignment="1">
      <alignment horizontal="left"/>
    </xf>
    <xf numFmtId="0" fontId="23" fillId="0" borderId="0" xfId="0" applyFont="1" applyAlignment="1">
      <alignment horizontal="center"/>
    </xf>
    <xf numFmtId="0" fontId="20" fillId="0" borderId="0" xfId="0" applyFont="1" applyAlignment="1">
      <alignment horizontal="left"/>
    </xf>
    <xf numFmtId="0" fontId="0" fillId="0" borderId="0" xfId="0"/>
    <xf numFmtId="0" fontId="9" fillId="0" borderId="0" xfId="0" applyFont="1" applyAlignment="1">
      <alignment horizontal="left"/>
    </xf>
    <xf numFmtId="0" fontId="12" fillId="0" borderId="0" xfId="0" applyFont="1" applyAlignment="1">
      <alignment horizontal="left"/>
    </xf>
    <xf numFmtId="0" fontId="8" fillId="0" borderId="0" xfId="0" applyFont="1"/>
    <xf numFmtId="0" fontId="0" fillId="0" borderId="0" xfId="0" applyAlignment="1">
      <alignment horizontal="center"/>
    </xf>
    <xf numFmtId="0" fontId="0" fillId="0" borderId="0" xfId="0" applyAlignment="1">
      <alignment horizontal="left"/>
    </xf>
    <xf numFmtId="0" fontId="0" fillId="0" borderId="0" xfId="0" applyBorder="1"/>
    <xf numFmtId="0" fontId="0" fillId="0" borderId="4" xfId="0" applyBorder="1" applyAlignment="1">
      <alignment horizontal="center"/>
    </xf>
    <xf numFmtId="0" fontId="0" fillId="0" borderId="0" xfId="0" applyBorder="1" applyAlignment="1">
      <alignment horizontal="center"/>
    </xf>
    <xf numFmtId="164" fontId="3" fillId="0" borderId="4" xfId="0" applyNumberFormat="1" applyFont="1" applyBorder="1" applyAlignment="1">
      <alignment horizontal="center"/>
    </xf>
    <xf numFmtId="164" fontId="3" fillId="0" borderId="0" xfId="0" applyNumberFormat="1" applyFont="1" applyBorder="1" applyAlignment="1">
      <alignment horizontal="center"/>
    </xf>
    <xf numFmtId="0" fontId="0" fillId="0" borderId="0" xfId="0" applyFill="1" applyBorder="1" applyAlignment="1">
      <alignment horizontal="center"/>
    </xf>
    <xf numFmtId="0" fontId="21" fillId="7" borderId="0" xfId="0" applyFont="1" applyFill="1" applyBorder="1" applyAlignment="1">
      <alignment horizontal="left"/>
    </xf>
    <xf numFmtId="0" fontId="22" fillId="7" borderId="7" xfId="0" applyFont="1" applyFill="1" applyBorder="1" applyAlignment="1">
      <alignment horizontal="left"/>
    </xf>
    <xf numFmtId="0" fontId="0" fillId="6" borderId="0" xfId="0" applyFill="1" applyBorder="1" applyAlignment="1">
      <alignment horizontal="center"/>
    </xf>
    <xf numFmtId="0" fontId="0" fillId="6" borderId="5" xfId="0" applyFill="1" applyBorder="1" applyAlignment="1">
      <alignment horizontal="center"/>
    </xf>
    <xf numFmtId="0" fontId="0" fillId="4" borderId="0" xfId="0" applyFill="1" applyBorder="1" applyAlignment="1">
      <alignment horizontal="center"/>
    </xf>
    <xf numFmtId="0" fontId="3" fillId="7" borderId="0" xfId="0" applyFont="1" applyFill="1" applyBorder="1" applyAlignment="1">
      <alignment horizontal="center"/>
    </xf>
    <xf numFmtId="0" fontId="0" fillId="12" borderId="0" xfId="0" applyFill="1" applyBorder="1" applyAlignment="1">
      <alignment horizontal="center"/>
    </xf>
    <xf numFmtId="0" fontId="0" fillId="0" borderId="0" xfId="0" applyBorder="1" applyAlignment="1">
      <alignment horizontal="center" wrapText="1"/>
    </xf>
    <xf numFmtId="0" fontId="0" fillId="3" borderId="0" xfId="0" applyFill="1" applyBorder="1" applyAlignment="1">
      <alignment horizontal="center"/>
    </xf>
    <xf numFmtId="0" fontId="0" fillId="11" borderId="0" xfId="0" applyFill="1" applyBorder="1" applyAlignment="1">
      <alignment horizontal="center"/>
    </xf>
    <xf numFmtId="0" fontId="0" fillId="13" borderId="4" xfId="0" applyFill="1" applyBorder="1" applyAlignment="1">
      <alignment horizontal="center"/>
    </xf>
    <xf numFmtId="0" fontId="0" fillId="13" borderId="0" xfId="0" applyFill="1" applyBorder="1" applyAlignment="1">
      <alignment horizontal="center"/>
    </xf>
    <xf numFmtId="0" fontId="0" fillId="5" borderId="0" xfId="0" applyFill="1" applyBorder="1" applyAlignment="1">
      <alignment horizontal="center"/>
    </xf>
    <xf numFmtId="0" fontId="0" fillId="0" borderId="0" xfId="0" applyBorder="1" applyAlignment="1">
      <alignment horizontal="center"/>
    </xf>
  </cellXfs>
  <cellStyles count="284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Normal" xfId="0" builtinId="0"/>
    <cellStyle name="Normal 2" xfId="1" xr:uid="{00000000-0005-0000-0000-0000170B0000}"/>
    <cellStyle name="Percent" xfId="2" builtinId="5"/>
  </cellStyles>
  <dxfs count="0"/>
  <tableStyles count="0" defaultTableStyle="TableStyleMedium9" defaultPivotStyle="PivotStyleLight16"/>
  <colors>
    <mruColors>
      <color rgb="FF0066FF"/>
      <color rgb="FF1407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X65"/>
  <sheetViews>
    <sheetView tabSelected="1" workbookViewId="0">
      <selection activeCell="F3" sqref="F3"/>
    </sheetView>
  </sheetViews>
  <sheetFormatPr defaultColWidth="10.6640625" defaultRowHeight="14.25" x14ac:dyDescent="0.45"/>
  <cols>
    <col min="1" max="1" width="2.796875" customWidth="1"/>
    <col min="2" max="2" width="13" customWidth="1"/>
    <col min="3" max="3" width="18.796875" customWidth="1"/>
    <col min="4" max="4" width="8.1328125" customWidth="1"/>
    <col min="6" max="6" width="9" customWidth="1"/>
    <col min="7" max="7" width="6.33203125" customWidth="1"/>
    <col min="9" max="9" width="10.796875" customWidth="1"/>
    <col min="15" max="15" width="16.796875" customWidth="1"/>
    <col min="18" max="19" width="13.796875" customWidth="1"/>
    <col min="20" max="22" width="11.1328125" customWidth="1"/>
  </cols>
  <sheetData>
    <row r="1" spans="2:22" ht="29" customHeight="1" x14ac:dyDescent="0.55000000000000004">
      <c r="B1" s="5" t="s">
        <v>24</v>
      </c>
      <c r="J1" s="130" t="s">
        <v>153</v>
      </c>
    </row>
    <row r="2" spans="2:22" ht="15" customHeight="1" x14ac:dyDescent="0.55000000000000004">
      <c r="B2" s="15" t="s">
        <v>29</v>
      </c>
      <c r="J2" s="130" t="s">
        <v>139</v>
      </c>
    </row>
    <row r="3" spans="2:22" ht="18.399999999999999" thickBot="1" x14ac:dyDescent="0.6">
      <c r="B3" s="129" t="s">
        <v>135</v>
      </c>
    </row>
    <row r="4" spans="2:22" x14ac:dyDescent="0.45">
      <c r="B4" s="16" t="s">
        <v>58</v>
      </c>
      <c r="C4" s="17"/>
      <c r="D4" s="17"/>
      <c r="E4" s="18"/>
      <c r="F4" s="18"/>
      <c r="G4" s="18"/>
      <c r="H4" s="18"/>
      <c r="I4" s="18"/>
      <c r="J4" s="18"/>
      <c r="K4" s="18" t="s">
        <v>86</v>
      </c>
      <c r="L4" s="18"/>
      <c r="M4" s="18"/>
      <c r="N4" s="18"/>
      <c r="O4" s="18"/>
      <c r="P4" s="18"/>
      <c r="Q4" s="18"/>
      <c r="R4" s="18"/>
      <c r="S4" s="18"/>
      <c r="T4" s="18"/>
      <c r="U4" s="18"/>
      <c r="V4" s="19"/>
    </row>
    <row r="5" spans="2:22" x14ac:dyDescent="0.45">
      <c r="B5" s="20" t="s">
        <v>0</v>
      </c>
      <c r="C5" s="21"/>
      <c r="D5" s="23"/>
      <c r="E5" s="23"/>
      <c r="F5" s="23"/>
      <c r="G5" s="142" t="s">
        <v>0</v>
      </c>
      <c r="H5" s="23"/>
      <c r="I5" s="23"/>
      <c r="J5" s="23"/>
      <c r="K5" s="23"/>
      <c r="L5" s="23"/>
      <c r="M5" s="23"/>
      <c r="N5" s="23"/>
      <c r="O5" s="23"/>
      <c r="P5" s="23"/>
      <c r="Q5" s="23"/>
      <c r="R5" s="23"/>
      <c r="S5" s="23"/>
      <c r="T5" s="23"/>
      <c r="U5" s="23"/>
      <c r="V5" s="24"/>
    </row>
    <row r="6" spans="2:22" x14ac:dyDescent="0.45">
      <c r="B6" s="25" t="s">
        <v>2</v>
      </c>
      <c r="C6" s="21"/>
      <c r="D6" s="23"/>
      <c r="E6" s="23"/>
      <c r="F6" s="23"/>
      <c r="G6" s="142" t="s">
        <v>114</v>
      </c>
      <c r="H6" s="23"/>
      <c r="I6" s="23"/>
      <c r="J6" s="23"/>
      <c r="K6" s="23"/>
      <c r="L6" s="23"/>
      <c r="M6" s="23"/>
      <c r="N6" s="23"/>
      <c r="O6" s="23"/>
      <c r="P6" s="23"/>
      <c r="Q6" s="23"/>
      <c r="R6" s="23"/>
      <c r="S6" s="23"/>
      <c r="T6" s="23"/>
      <c r="U6" s="23"/>
      <c r="V6" s="24"/>
    </row>
    <row r="7" spans="2:22" x14ac:dyDescent="0.45">
      <c r="B7" s="25" t="s">
        <v>1</v>
      </c>
      <c r="C7" s="21"/>
      <c r="D7" s="23"/>
      <c r="E7" s="23"/>
      <c r="F7" s="23"/>
      <c r="G7" s="22">
        <v>7.4</v>
      </c>
      <c r="H7" s="23"/>
      <c r="I7" s="23"/>
      <c r="J7" s="23"/>
      <c r="K7" s="23" t="s">
        <v>88</v>
      </c>
      <c r="L7" s="23"/>
      <c r="M7" s="23"/>
      <c r="N7" s="23"/>
      <c r="O7" s="23"/>
      <c r="P7" s="23"/>
      <c r="Q7" s="23"/>
      <c r="R7" s="23"/>
      <c r="S7" s="23"/>
      <c r="T7" s="23"/>
      <c r="U7" s="23"/>
      <c r="V7" s="24"/>
    </row>
    <row r="8" spans="2:22" x14ac:dyDescent="0.45">
      <c r="B8" s="25" t="s">
        <v>26</v>
      </c>
      <c r="C8" s="21" t="s">
        <v>152</v>
      </c>
      <c r="D8" s="23"/>
      <c r="E8" s="23"/>
      <c r="F8" s="23"/>
      <c r="G8" s="22">
        <v>4.4999999999999998E-2</v>
      </c>
      <c r="H8" s="23"/>
      <c r="I8" s="23"/>
      <c r="J8" s="23"/>
      <c r="K8" s="23" t="s">
        <v>151</v>
      </c>
      <c r="L8" s="23"/>
      <c r="M8" s="23"/>
      <c r="N8" s="23"/>
      <c r="O8" s="23"/>
      <c r="P8" s="23"/>
      <c r="Q8" s="23"/>
      <c r="R8" s="23"/>
      <c r="S8" s="23"/>
      <c r="T8" s="23"/>
      <c r="U8" s="23"/>
      <c r="V8" s="24"/>
    </row>
    <row r="9" spans="2:22" x14ac:dyDescent="0.45">
      <c r="B9" s="20" t="s">
        <v>3</v>
      </c>
      <c r="C9" s="21" t="s">
        <v>11</v>
      </c>
      <c r="D9" s="23"/>
      <c r="E9" s="23"/>
      <c r="F9" s="23"/>
      <c r="G9" s="22">
        <v>6.093</v>
      </c>
      <c r="H9" s="23"/>
      <c r="I9" s="23"/>
      <c r="J9" s="23"/>
      <c r="K9" s="23" t="s">
        <v>90</v>
      </c>
      <c r="L9" s="23"/>
      <c r="M9" s="23"/>
      <c r="N9" s="23"/>
      <c r="O9" s="23"/>
      <c r="P9" s="23"/>
      <c r="Q9" s="23"/>
      <c r="R9" s="23"/>
      <c r="S9" s="23"/>
      <c r="T9" s="23"/>
      <c r="U9" s="23"/>
      <c r="V9" s="24"/>
    </row>
    <row r="10" spans="2:22" ht="14.65" thickBot="1" x14ac:dyDescent="0.5">
      <c r="B10" s="26" t="s">
        <v>136</v>
      </c>
      <c r="C10" s="27"/>
      <c r="D10" s="28"/>
      <c r="E10" s="28"/>
      <c r="F10" s="28"/>
      <c r="G10" s="143" t="str">
        <f>IF(G23&lt;&gt;1,"The sum of substrates must be 1 in G23!",IF(G14&gt;0,H14,"")&amp;IF(G15&gt;0,"+"&amp;H15,"")&amp;IF(G16&gt;0,"+"&amp;H16,"")&amp;IF(G17&gt;0,"+"&amp;H17,"")&amp;IF(G18&gt;0,"+"&amp;H18,"")&amp;IF(G19&gt;0,"+"&amp;H19,"")&amp;IF(G20&gt;0,"+"&amp;H20,"")&amp;IF(G21&gt;0,"+"&amp;H21,"")&amp;IF(G22&gt;0,"+"&amp;H22,""))</f>
        <v>glucose (mal/asp shuttle)+glucose (GP shuttle)</v>
      </c>
      <c r="H10" s="28"/>
      <c r="I10" s="28"/>
      <c r="J10" s="28"/>
      <c r="K10" s="28"/>
      <c r="L10" s="28"/>
      <c r="M10" s="28"/>
      <c r="N10" s="28"/>
      <c r="O10" s="28"/>
      <c r="P10" s="28"/>
      <c r="Q10" s="28"/>
      <c r="R10" s="28"/>
      <c r="S10" s="28"/>
      <c r="T10" s="28"/>
      <c r="U10" s="28"/>
      <c r="V10" s="29"/>
    </row>
    <row r="11" spans="2:22" ht="14.65" thickBot="1" x14ac:dyDescent="0.5">
      <c r="B11" s="1"/>
    </row>
    <row r="12" spans="2:22" x14ac:dyDescent="0.45">
      <c r="B12" s="30" t="s">
        <v>30</v>
      </c>
      <c r="C12" s="31"/>
      <c r="D12" s="31"/>
      <c r="E12" s="31"/>
      <c r="F12" s="31"/>
      <c r="G12" s="31"/>
      <c r="H12" s="31"/>
      <c r="I12" s="31"/>
      <c r="J12" s="31"/>
      <c r="K12" s="31" t="s">
        <v>86</v>
      </c>
      <c r="L12" s="31"/>
      <c r="M12" s="31"/>
      <c r="N12" s="31"/>
      <c r="O12" s="31"/>
      <c r="P12" s="31"/>
      <c r="Q12" s="31"/>
      <c r="R12" s="31"/>
      <c r="S12" s="31"/>
      <c r="T12" s="31"/>
      <c r="U12" s="31"/>
      <c r="V12" s="32"/>
    </row>
    <row r="13" spans="2:22" x14ac:dyDescent="0.45">
      <c r="B13" s="33" t="s">
        <v>31</v>
      </c>
      <c r="C13" s="34"/>
      <c r="D13" s="34"/>
      <c r="E13" s="34"/>
      <c r="F13" s="34"/>
      <c r="G13" s="54">
        <v>0.90800000000000003</v>
      </c>
      <c r="H13" s="34"/>
      <c r="I13" s="34"/>
      <c r="J13" s="34"/>
      <c r="K13" s="34" t="s">
        <v>87</v>
      </c>
      <c r="L13" s="34"/>
      <c r="M13" s="34"/>
      <c r="N13" s="34"/>
      <c r="O13" s="34"/>
      <c r="P13" s="34"/>
      <c r="Q13" s="34"/>
      <c r="R13" s="34"/>
      <c r="S13" s="34"/>
      <c r="T13" s="34"/>
      <c r="U13" s="34"/>
      <c r="V13" s="35"/>
    </row>
    <row r="14" spans="2:22" x14ac:dyDescent="0.45">
      <c r="B14" s="33" t="s">
        <v>57</v>
      </c>
      <c r="C14" s="34"/>
      <c r="D14" s="34"/>
      <c r="E14" s="34"/>
      <c r="F14" s="34"/>
      <c r="G14" s="54">
        <v>0.9</v>
      </c>
      <c r="H14" s="34" t="s">
        <v>41</v>
      </c>
      <c r="I14" s="34"/>
      <c r="J14" s="34"/>
      <c r="K14" s="34" t="s">
        <v>81</v>
      </c>
      <c r="L14" s="34"/>
      <c r="M14" s="34"/>
      <c r="N14" s="34"/>
      <c r="O14" s="34"/>
      <c r="P14" s="34"/>
      <c r="Q14" s="34"/>
      <c r="R14" s="34"/>
      <c r="S14" s="34"/>
      <c r="T14" s="34"/>
      <c r="U14" s="34"/>
      <c r="V14" s="35"/>
    </row>
    <row r="15" spans="2:22" x14ac:dyDescent="0.45">
      <c r="B15" s="36"/>
      <c r="C15" s="34"/>
      <c r="D15" s="34"/>
      <c r="E15" s="34"/>
      <c r="F15" s="34"/>
      <c r="G15" s="54">
        <v>0.1</v>
      </c>
      <c r="H15" s="34" t="s">
        <v>42</v>
      </c>
      <c r="I15" s="34"/>
      <c r="J15" s="34"/>
      <c r="K15" s="34" t="s">
        <v>81</v>
      </c>
      <c r="L15" s="34"/>
      <c r="M15" s="34"/>
      <c r="N15" s="34"/>
      <c r="O15" s="34"/>
      <c r="P15" s="34"/>
      <c r="Q15" s="34"/>
      <c r="R15" s="34"/>
      <c r="S15" s="34"/>
      <c r="T15" s="34"/>
      <c r="U15" s="34"/>
      <c r="V15" s="35"/>
    </row>
    <row r="16" spans="2:22" x14ac:dyDescent="0.45">
      <c r="B16" s="36"/>
      <c r="C16" s="34"/>
      <c r="D16" s="34"/>
      <c r="E16" s="34"/>
      <c r="F16" s="34"/>
      <c r="G16" s="54">
        <v>0</v>
      </c>
      <c r="H16" s="34" t="s">
        <v>36</v>
      </c>
      <c r="I16" s="34"/>
      <c r="J16" s="34"/>
      <c r="K16" s="34" t="s">
        <v>82</v>
      </c>
      <c r="L16" s="34"/>
      <c r="M16" s="34"/>
      <c r="N16" s="34"/>
      <c r="O16" s="34"/>
      <c r="P16" s="34"/>
      <c r="Q16" s="34"/>
      <c r="R16" s="34"/>
      <c r="S16" s="34"/>
      <c r="T16" s="34"/>
      <c r="U16" s="34"/>
      <c r="V16" s="35"/>
    </row>
    <row r="17" spans="2:22" x14ac:dyDescent="0.45">
      <c r="B17" s="36"/>
      <c r="C17" s="34"/>
      <c r="D17" s="34"/>
      <c r="E17" s="34"/>
      <c r="F17" s="34"/>
      <c r="G17" s="54">
        <v>0</v>
      </c>
      <c r="H17" s="34" t="s">
        <v>45</v>
      </c>
      <c r="I17" s="34"/>
      <c r="J17" s="34"/>
      <c r="K17" s="34" t="s">
        <v>83</v>
      </c>
      <c r="L17" s="34"/>
      <c r="M17" s="34"/>
      <c r="N17" s="34"/>
      <c r="O17" s="34"/>
      <c r="P17" s="34"/>
      <c r="Q17" s="34"/>
      <c r="R17" s="34"/>
      <c r="S17" s="34"/>
      <c r="T17" s="34"/>
      <c r="U17" s="34"/>
      <c r="V17" s="35"/>
    </row>
    <row r="18" spans="2:22" x14ac:dyDescent="0.45">
      <c r="B18" s="36"/>
      <c r="C18" s="34"/>
      <c r="D18" s="34"/>
      <c r="E18" s="34"/>
      <c r="F18" s="34"/>
      <c r="G18" s="54">
        <v>0</v>
      </c>
      <c r="H18" s="34" t="s">
        <v>39</v>
      </c>
      <c r="I18" s="34"/>
      <c r="J18" s="34"/>
      <c r="K18" s="34" t="s">
        <v>84</v>
      </c>
      <c r="L18" s="34"/>
      <c r="M18" s="34"/>
      <c r="N18" s="34"/>
      <c r="O18" s="34"/>
      <c r="P18" s="34"/>
      <c r="Q18" s="34"/>
      <c r="R18" s="34"/>
      <c r="S18" s="34"/>
      <c r="T18" s="34"/>
      <c r="U18" s="34"/>
      <c r="V18" s="35"/>
    </row>
    <row r="19" spans="2:22" x14ac:dyDescent="0.45">
      <c r="B19" s="36"/>
      <c r="C19" s="34"/>
      <c r="D19" s="34"/>
      <c r="E19" s="34"/>
      <c r="F19" s="34"/>
      <c r="G19" s="54">
        <v>0</v>
      </c>
      <c r="H19" s="34" t="s">
        <v>46</v>
      </c>
      <c r="I19" s="34"/>
      <c r="J19" s="34"/>
      <c r="K19" s="34" t="s">
        <v>81</v>
      </c>
      <c r="L19" s="34"/>
      <c r="M19" s="34"/>
      <c r="N19" s="34"/>
      <c r="O19" s="34"/>
      <c r="P19" s="34"/>
      <c r="Q19" s="34"/>
      <c r="R19" s="34"/>
      <c r="S19" s="34"/>
      <c r="T19" s="34"/>
      <c r="U19" s="34"/>
      <c r="V19" s="35"/>
    </row>
    <row r="20" spans="2:22" x14ac:dyDescent="0.45">
      <c r="B20" s="36"/>
      <c r="C20" s="37"/>
      <c r="D20" s="34"/>
      <c r="E20" s="34"/>
      <c r="F20" s="34"/>
      <c r="G20" s="54">
        <v>0</v>
      </c>
      <c r="H20" s="34" t="s">
        <v>47</v>
      </c>
      <c r="I20" s="34"/>
      <c r="J20" s="34"/>
      <c r="K20" s="34" t="s">
        <v>81</v>
      </c>
      <c r="L20" s="34"/>
      <c r="M20" s="34"/>
      <c r="N20" s="34"/>
      <c r="O20" s="34"/>
      <c r="P20" s="34"/>
      <c r="Q20" s="34"/>
      <c r="R20" s="34"/>
      <c r="S20" s="34"/>
      <c r="T20" s="34"/>
      <c r="U20" s="34"/>
      <c r="V20" s="35"/>
    </row>
    <row r="21" spans="2:22" x14ac:dyDescent="0.45">
      <c r="B21" s="36"/>
      <c r="C21" s="34"/>
      <c r="D21" s="34"/>
      <c r="E21" s="34"/>
      <c r="F21" s="34"/>
      <c r="G21" s="54">
        <v>0</v>
      </c>
      <c r="H21" s="34" t="s">
        <v>43</v>
      </c>
      <c r="I21" s="34"/>
      <c r="J21" s="34"/>
      <c r="K21" s="34" t="s">
        <v>85</v>
      </c>
      <c r="L21" s="34"/>
      <c r="M21" s="34"/>
      <c r="N21" s="34"/>
      <c r="O21" s="34"/>
      <c r="P21" s="34"/>
      <c r="Q21" s="34"/>
      <c r="R21" s="34"/>
      <c r="S21" s="34"/>
      <c r="T21" s="34"/>
      <c r="U21" s="34"/>
      <c r="V21" s="35"/>
    </row>
    <row r="22" spans="2:22" x14ac:dyDescent="0.45">
      <c r="B22" s="36"/>
      <c r="C22" s="34"/>
      <c r="D22" s="34"/>
      <c r="E22" s="34"/>
      <c r="F22" s="34"/>
      <c r="G22" s="54">
        <v>0</v>
      </c>
      <c r="H22" s="34" t="s">
        <v>44</v>
      </c>
      <c r="I22" s="34"/>
      <c r="J22" s="34"/>
      <c r="K22" s="34" t="s">
        <v>85</v>
      </c>
      <c r="L22" s="34"/>
      <c r="M22" s="34"/>
      <c r="N22" s="34"/>
      <c r="O22" s="34"/>
      <c r="P22" s="34"/>
      <c r="Q22" s="34"/>
      <c r="R22" s="34"/>
      <c r="S22" s="34"/>
      <c r="T22" s="34"/>
      <c r="U22" s="34"/>
      <c r="V22" s="35"/>
    </row>
    <row r="23" spans="2:22" x14ac:dyDescent="0.45">
      <c r="B23" s="36"/>
      <c r="C23" s="34"/>
      <c r="D23" s="38"/>
      <c r="E23" s="38"/>
      <c r="F23" s="102" t="s">
        <v>56</v>
      </c>
      <c r="G23" s="55">
        <f>SUM(G14:G22)</f>
        <v>1</v>
      </c>
      <c r="H23" s="34"/>
      <c r="I23" s="34"/>
      <c r="J23" s="34"/>
      <c r="K23" s="34"/>
      <c r="L23" s="34"/>
      <c r="M23" s="34"/>
      <c r="N23" s="34"/>
      <c r="O23" s="34"/>
      <c r="P23" s="34"/>
      <c r="Q23" s="34"/>
      <c r="R23" s="34"/>
      <c r="S23" s="34"/>
      <c r="T23" s="34"/>
      <c r="U23" s="34"/>
      <c r="V23" s="35"/>
    </row>
    <row r="24" spans="2:22" s="75" customFormat="1" x14ac:dyDescent="0.45">
      <c r="B24" s="103" t="s">
        <v>97</v>
      </c>
      <c r="C24" s="89"/>
      <c r="D24" s="89"/>
      <c r="E24" s="89"/>
      <c r="F24" s="104"/>
      <c r="G24" s="77">
        <v>1</v>
      </c>
      <c r="H24" s="72"/>
      <c r="I24" s="72"/>
      <c r="J24" s="72"/>
      <c r="K24" s="72"/>
      <c r="L24" s="72"/>
      <c r="M24" s="72"/>
      <c r="N24" s="72"/>
      <c r="O24" s="72"/>
      <c r="P24" s="72"/>
      <c r="Q24" s="72"/>
      <c r="R24" s="72"/>
      <c r="S24" s="72"/>
      <c r="T24" s="72"/>
      <c r="U24" s="72"/>
      <c r="V24" s="78"/>
    </row>
    <row r="25" spans="2:22" s="75" customFormat="1" x14ac:dyDescent="0.45">
      <c r="B25" s="103" t="s">
        <v>108</v>
      </c>
      <c r="C25" s="89"/>
      <c r="D25" s="89"/>
      <c r="E25" s="89"/>
      <c r="F25" s="104"/>
      <c r="G25" s="77">
        <v>0</v>
      </c>
      <c r="H25" s="72"/>
      <c r="I25" s="72"/>
      <c r="J25" s="72"/>
      <c r="K25" s="72"/>
      <c r="L25" s="72"/>
      <c r="M25" s="72"/>
      <c r="N25" s="72"/>
      <c r="O25" s="72"/>
      <c r="P25" s="72"/>
      <c r="Q25" s="72"/>
      <c r="R25" s="72"/>
      <c r="S25" s="72"/>
      <c r="T25" s="72"/>
      <c r="U25" s="72"/>
      <c r="V25" s="78"/>
    </row>
    <row r="26" spans="2:22" s="75" customFormat="1" x14ac:dyDescent="0.45">
      <c r="B26" s="103" t="s">
        <v>110</v>
      </c>
      <c r="C26" s="89"/>
      <c r="D26" s="89"/>
      <c r="E26" s="89"/>
      <c r="F26" s="104"/>
      <c r="G26" s="77">
        <v>0</v>
      </c>
      <c r="H26" s="72"/>
      <c r="I26" s="72"/>
      <c r="J26" s="72"/>
      <c r="K26" s="72"/>
      <c r="L26" s="72"/>
      <c r="M26" s="72"/>
      <c r="N26" s="72"/>
      <c r="O26" s="72"/>
      <c r="P26" s="72"/>
      <c r="Q26" s="72"/>
      <c r="R26" s="72"/>
      <c r="S26" s="72"/>
      <c r="T26" s="72"/>
      <c r="U26" s="72"/>
      <c r="V26" s="78"/>
    </row>
    <row r="27" spans="2:22" s="75" customFormat="1" x14ac:dyDescent="0.45">
      <c r="B27" s="103" t="s">
        <v>109</v>
      </c>
      <c r="C27" s="89"/>
      <c r="D27" s="89"/>
      <c r="E27" s="89"/>
      <c r="F27" s="104"/>
      <c r="G27" s="77">
        <v>0</v>
      </c>
      <c r="H27" s="72"/>
      <c r="I27" s="72"/>
      <c r="J27" s="72"/>
      <c r="K27" s="72"/>
      <c r="L27" s="72"/>
      <c r="M27" s="72"/>
      <c r="N27" s="72"/>
      <c r="O27" s="72"/>
      <c r="P27" s="72"/>
      <c r="Q27" s="72"/>
      <c r="R27" s="72"/>
      <c r="S27" s="72"/>
      <c r="T27" s="72"/>
      <c r="U27" s="72"/>
      <c r="V27" s="78"/>
    </row>
    <row r="28" spans="2:22" s="75" customFormat="1" x14ac:dyDescent="0.45">
      <c r="B28" s="79"/>
      <c r="C28" s="100"/>
      <c r="D28" s="76"/>
      <c r="E28" s="76"/>
      <c r="F28" s="101" t="s">
        <v>56</v>
      </c>
      <c r="G28" s="80">
        <f>SUM(G24:G27)</f>
        <v>1</v>
      </c>
      <c r="H28" s="72"/>
      <c r="I28" s="72"/>
      <c r="J28" s="72"/>
      <c r="K28" s="72"/>
      <c r="L28" s="72"/>
      <c r="M28" s="72"/>
      <c r="N28" s="72"/>
      <c r="O28" s="72"/>
      <c r="P28" s="72"/>
      <c r="Q28" s="72"/>
      <c r="R28" s="72"/>
      <c r="S28" s="72"/>
      <c r="T28" s="72"/>
      <c r="U28" s="72"/>
      <c r="V28" s="78"/>
    </row>
    <row r="29" spans="2:22" x14ac:dyDescent="0.45">
      <c r="B29" s="33" t="s">
        <v>27</v>
      </c>
      <c r="C29" s="34"/>
      <c r="D29" s="34"/>
      <c r="E29" s="34"/>
      <c r="F29" s="34"/>
      <c r="G29" s="64">
        <f>G14*R37+G15*R38+G16*R39+G17*R40+G18*R45+G19*R46+G20*R47+G21*R41+G22*R42</f>
        <v>1</v>
      </c>
      <c r="H29" s="34"/>
      <c r="I29" s="34"/>
      <c r="J29" s="34"/>
      <c r="K29" s="34" t="s">
        <v>38</v>
      </c>
      <c r="L29" s="34"/>
      <c r="M29" s="34"/>
      <c r="N29" s="34"/>
      <c r="O29" s="34"/>
      <c r="P29" s="34"/>
      <c r="Q29" s="34"/>
      <c r="R29" s="34"/>
      <c r="S29" s="34"/>
      <c r="T29" s="34"/>
      <c r="U29" s="34"/>
      <c r="V29" s="35"/>
    </row>
    <row r="30" spans="2:22" x14ac:dyDescent="0.45">
      <c r="B30" s="33" t="s">
        <v>55</v>
      </c>
      <c r="C30" s="34"/>
      <c r="D30" s="34"/>
      <c r="E30" s="34"/>
      <c r="F30" s="34"/>
      <c r="G30" s="65">
        <f>G14*S37+G15*S38+G16*S39+G17*S40+G18*S45+G19*S46+G20*S47+G21*S41+G22*S42</f>
        <v>2.4863636363636363</v>
      </c>
      <c r="H30" s="34"/>
      <c r="I30" s="34"/>
      <c r="J30" s="34"/>
      <c r="K30" s="34" t="s">
        <v>37</v>
      </c>
      <c r="L30" s="34"/>
      <c r="M30" s="34"/>
      <c r="N30" s="34"/>
      <c r="O30" s="34"/>
      <c r="P30" s="34"/>
      <c r="Q30" s="34"/>
      <c r="R30" s="34"/>
      <c r="S30" s="34"/>
      <c r="T30" s="34"/>
      <c r="U30" s="34"/>
      <c r="V30" s="35"/>
    </row>
    <row r="31" spans="2:22" x14ac:dyDescent="0.45">
      <c r="B31" s="33" t="s">
        <v>94</v>
      </c>
      <c r="C31" s="34"/>
      <c r="D31" s="34"/>
      <c r="E31" s="34"/>
      <c r="F31" s="34"/>
      <c r="G31" s="65">
        <f>G14*T37+G15*T38+G16*T39+G17*T40+G18*T45+G19*T46+G20*T47+G21*T41+G22*T42</f>
        <v>0.12121212121212122</v>
      </c>
      <c r="H31" s="34"/>
      <c r="I31" s="34"/>
      <c r="J31" s="34"/>
      <c r="K31" s="34" t="s">
        <v>59</v>
      </c>
      <c r="L31" s="34"/>
      <c r="M31" s="34"/>
      <c r="N31" s="34"/>
      <c r="O31" s="34"/>
      <c r="P31" s="34"/>
      <c r="Q31" s="34"/>
      <c r="R31" s="34"/>
      <c r="S31" s="34"/>
      <c r="T31" s="34"/>
      <c r="U31" s="34"/>
      <c r="V31" s="35"/>
    </row>
    <row r="32" spans="2:22" ht="14.65" thickBot="1" x14ac:dyDescent="0.5">
      <c r="B32" s="39" t="s">
        <v>60</v>
      </c>
      <c r="C32" s="40"/>
      <c r="D32" s="40"/>
      <c r="E32" s="40"/>
      <c r="F32" s="40"/>
      <c r="G32" s="66">
        <f>G14*U37+G15*U38+G16*U39+G17*U40+G18*U45+G19*U46+G20*U47+G21*U41+G22*U42</f>
        <v>0.16666666666666666</v>
      </c>
      <c r="H32" s="40"/>
      <c r="I32" s="40"/>
      <c r="J32" s="40"/>
      <c r="K32" s="40" t="s">
        <v>59</v>
      </c>
      <c r="L32" s="40"/>
      <c r="M32" s="40"/>
      <c r="N32" s="40"/>
      <c r="O32" s="40"/>
      <c r="P32" s="40"/>
      <c r="Q32" s="40"/>
      <c r="R32" s="40"/>
      <c r="S32" s="40"/>
      <c r="T32" s="40"/>
      <c r="U32" s="40"/>
      <c r="V32" s="41"/>
    </row>
    <row r="33" spans="2:24" ht="14.65" thickBot="1" x14ac:dyDescent="0.5"/>
    <row r="34" spans="2:24" x14ac:dyDescent="0.45">
      <c r="B34" s="42" t="s">
        <v>89</v>
      </c>
      <c r="C34" s="43"/>
      <c r="D34" s="43"/>
      <c r="E34" s="43"/>
      <c r="F34" s="43"/>
      <c r="G34" s="43"/>
      <c r="H34" s="43"/>
      <c r="I34" s="43"/>
      <c r="J34" s="43"/>
      <c r="K34" s="43"/>
      <c r="L34" s="43"/>
      <c r="M34" s="43"/>
      <c r="N34" s="43"/>
      <c r="O34" s="43"/>
      <c r="P34" s="43"/>
      <c r="Q34" s="43"/>
      <c r="R34" s="43"/>
      <c r="S34" s="43"/>
      <c r="T34" s="43"/>
      <c r="U34" s="43"/>
      <c r="V34" s="44"/>
    </row>
    <row r="35" spans="2:24" x14ac:dyDescent="0.45">
      <c r="B35" s="45"/>
      <c r="C35" s="46"/>
      <c r="D35" s="47"/>
      <c r="E35" s="47"/>
      <c r="F35" s="47"/>
      <c r="G35" s="47"/>
      <c r="H35" s="47"/>
      <c r="I35" s="69" t="s">
        <v>73</v>
      </c>
      <c r="J35" s="69" t="s">
        <v>74</v>
      </c>
      <c r="K35" s="69" t="s">
        <v>61</v>
      </c>
      <c r="L35" s="48" t="s">
        <v>76</v>
      </c>
      <c r="M35" s="69"/>
      <c r="N35" s="69" t="s">
        <v>64</v>
      </c>
      <c r="O35" s="69" t="s">
        <v>91</v>
      </c>
      <c r="P35" s="69" t="s">
        <v>75</v>
      </c>
      <c r="Q35" s="69"/>
      <c r="R35" s="57" t="s">
        <v>33</v>
      </c>
      <c r="S35" s="48" t="s">
        <v>65</v>
      </c>
      <c r="T35" s="47" t="s">
        <v>66</v>
      </c>
      <c r="U35" s="48" t="s">
        <v>67</v>
      </c>
      <c r="V35" s="61" t="s">
        <v>54</v>
      </c>
      <c r="W35" t="s">
        <v>95</v>
      </c>
    </row>
    <row r="36" spans="2:24" x14ac:dyDescent="0.45">
      <c r="B36" s="49" t="s">
        <v>32</v>
      </c>
      <c r="C36" s="46"/>
      <c r="D36" s="47"/>
      <c r="E36" s="47"/>
      <c r="F36" s="47"/>
      <c r="G36" s="47"/>
      <c r="H36" s="47"/>
      <c r="I36" s="69" t="s">
        <v>72</v>
      </c>
      <c r="J36" s="69" t="s">
        <v>63</v>
      </c>
      <c r="K36" s="69" t="s">
        <v>62</v>
      </c>
      <c r="L36" s="56" t="s">
        <v>63</v>
      </c>
      <c r="M36" s="56" t="s">
        <v>62</v>
      </c>
      <c r="N36" s="69" t="s">
        <v>63</v>
      </c>
      <c r="O36" s="69" t="s">
        <v>63</v>
      </c>
      <c r="P36" s="56" t="s">
        <v>63</v>
      </c>
      <c r="Q36" s="56" t="s">
        <v>62</v>
      </c>
      <c r="R36" s="58"/>
      <c r="S36" s="48"/>
      <c r="T36" s="47"/>
      <c r="U36" s="48"/>
      <c r="V36" s="61"/>
      <c r="X36" t="s">
        <v>93</v>
      </c>
    </row>
    <row r="37" spans="2:24" x14ac:dyDescent="0.45">
      <c r="B37" s="49" t="s">
        <v>50</v>
      </c>
      <c r="C37" s="46"/>
      <c r="D37" s="47" t="s">
        <v>68</v>
      </c>
      <c r="E37" s="47"/>
      <c r="F37" s="47"/>
      <c r="G37" s="47"/>
      <c r="H37" s="47"/>
      <c r="I37" s="69">
        <v>12</v>
      </c>
      <c r="J37" s="69">
        <v>6</v>
      </c>
      <c r="K37" s="69"/>
      <c r="L37" s="69">
        <v>20</v>
      </c>
      <c r="M37" s="69">
        <v>2</v>
      </c>
      <c r="N37" s="69">
        <v>-2</v>
      </c>
      <c r="O37" s="69">
        <v>92</v>
      </c>
      <c r="P37" s="69">
        <v>-2</v>
      </c>
      <c r="Q37" s="69">
        <v>2</v>
      </c>
      <c r="R37" s="59">
        <f>J37/I37*2</f>
        <v>1</v>
      </c>
      <c r="S37" s="50">
        <f>((L37+N37+O37)*3/11)/I37</f>
        <v>2.5</v>
      </c>
      <c r="T37" s="50">
        <f t="shared" ref="T37:T42" si="0">(K37+Q37+P37*3/11)/I37</f>
        <v>0.12121212121212122</v>
      </c>
      <c r="U37" s="50">
        <f>M37/I37</f>
        <v>0.16666666666666666</v>
      </c>
      <c r="V37" s="62">
        <f>S37+T37+U37</f>
        <v>2.7878787878787876</v>
      </c>
      <c r="W37" s="67">
        <f>2*R37*V37</f>
        <v>5.5757575757575752</v>
      </c>
      <c r="X37" s="68">
        <f>1/W37</f>
        <v>0.17934782608695654</v>
      </c>
    </row>
    <row r="38" spans="2:24" x14ac:dyDescent="0.45">
      <c r="B38" s="45" t="s">
        <v>51</v>
      </c>
      <c r="C38" s="47"/>
      <c r="D38" s="47" t="s">
        <v>68</v>
      </c>
      <c r="E38" s="47"/>
      <c r="F38" s="47"/>
      <c r="G38" s="47"/>
      <c r="H38" s="47"/>
      <c r="I38" s="69">
        <v>12</v>
      </c>
      <c r="J38" s="69">
        <v>6</v>
      </c>
      <c r="K38" s="69"/>
      <c r="L38" s="69">
        <v>20</v>
      </c>
      <c r="M38" s="69">
        <v>2</v>
      </c>
      <c r="N38" s="69">
        <v>-8</v>
      </c>
      <c r="O38" s="69">
        <v>92</v>
      </c>
      <c r="P38" s="69">
        <v>-2</v>
      </c>
      <c r="Q38" s="69">
        <v>2</v>
      </c>
      <c r="R38" s="59">
        <f t="shared" ref="R38:R47" si="1">J38/I38*2</f>
        <v>1</v>
      </c>
      <c r="S38" s="50">
        <f>((L38+N38+O38)*3/11)/I38</f>
        <v>2.3636363636363638</v>
      </c>
      <c r="T38" s="50">
        <f t="shared" si="0"/>
        <v>0.12121212121212122</v>
      </c>
      <c r="U38" s="50">
        <f t="shared" ref="U38:U47" si="2">M38/I38</f>
        <v>0.16666666666666666</v>
      </c>
      <c r="V38" s="62">
        <f t="shared" ref="V38:V47" si="3">S38+T38+U38</f>
        <v>2.6515151515151514</v>
      </c>
      <c r="W38" s="67">
        <f t="shared" ref="W38:W47" si="4">2*R38*V38</f>
        <v>5.3030303030303028</v>
      </c>
      <c r="X38" s="68">
        <f t="shared" ref="X38:X47" si="5">1/W38</f>
        <v>0.18857142857142858</v>
      </c>
    </row>
    <row r="39" spans="2:24" x14ac:dyDescent="0.45">
      <c r="B39" s="49" t="s">
        <v>34</v>
      </c>
      <c r="C39" s="46"/>
      <c r="D39" s="47" t="s">
        <v>69</v>
      </c>
      <c r="E39" s="47"/>
      <c r="F39" s="47"/>
      <c r="G39" s="47"/>
      <c r="H39" s="47"/>
      <c r="I39" s="69">
        <v>5</v>
      </c>
      <c r="J39" s="69">
        <v>2</v>
      </c>
      <c r="K39" s="69"/>
      <c r="L39" s="69"/>
      <c r="M39" s="69"/>
      <c r="N39" s="69"/>
      <c r="O39" s="69">
        <v>46</v>
      </c>
      <c r="P39" s="69">
        <v>-1</v>
      </c>
      <c r="Q39" s="69">
        <v>1</v>
      </c>
      <c r="R39" s="59">
        <f t="shared" si="1"/>
        <v>0.8</v>
      </c>
      <c r="S39" s="50">
        <f>((L39+N39+O39)*3/11)/I39</f>
        <v>2.5090909090909088</v>
      </c>
      <c r="T39" s="50">
        <f t="shared" si="0"/>
        <v>0.14545454545454545</v>
      </c>
      <c r="U39" s="50">
        <f t="shared" si="2"/>
        <v>0</v>
      </c>
      <c r="V39" s="62">
        <f t="shared" si="3"/>
        <v>2.6545454545454543</v>
      </c>
      <c r="W39" s="67">
        <f t="shared" si="4"/>
        <v>4.2472727272727271</v>
      </c>
      <c r="X39" s="68">
        <f t="shared" si="5"/>
        <v>0.23544520547945205</v>
      </c>
    </row>
    <row r="40" spans="2:24" x14ac:dyDescent="0.45">
      <c r="B40" s="49" t="s">
        <v>35</v>
      </c>
      <c r="C40" s="46"/>
      <c r="D40" s="47" t="s">
        <v>70</v>
      </c>
      <c r="E40" s="47"/>
      <c r="F40" s="47"/>
      <c r="G40" s="47"/>
      <c r="H40" s="47"/>
      <c r="I40" s="69">
        <v>46</v>
      </c>
      <c r="J40" s="69">
        <v>15</v>
      </c>
      <c r="K40" s="69"/>
      <c r="L40" s="69"/>
      <c r="M40" s="69"/>
      <c r="N40" s="69"/>
      <c r="O40" s="69">
        <v>400</v>
      </c>
      <c r="P40" s="69">
        <v>-8</v>
      </c>
      <c r="Q40" s="69">
        <v>8</v>
      </c>
      <c r="R40" s="59">
        <f t="shared" si="1"/>
        <v>0.65217391304347827</v>
      </c>
      <c r="S40" s="50">
        <f t="shared" ref="S40:S47" si="6">((L40+N40+O40)*3/11)/I40</f>
        <v>2.3715415019762847</v>
      </c>
      <c r="T40" s="50">
        <f t="shared" si="0"/>
        <v>0.12648221343873517</v>
      </c>
      <c r="U40" s="50">
        <f t="shared" si="2"/>
        <v>0</v>
      </c>
      <c r="V40" s="62">
        <f t="shared" si="3"/>
        <v>2.49802371541502</v>
      </c>
      <c r="W40" s="67">
        <f t="shared" si="4"/>
        <v>3.2582918027152434</v>
      </c>
      <c r="X40" s="68">
        <f t="shared" si="5"/>
        <v>0.30690928270042189</v>
      </c>
    </row>
    <row r="41" spans="2:24" x14ac:dyDescent="0.45">
      <c r="B41" s="49" t="s">
        <v>48</v>
      </c>
      <c r="C41" s="46"/>
      <c r="D41" s="47" t="s">
        <v>80</v>
      </c>
      <c r="E41" s="47"/>
      <c r="F41" s="47"/>
      <c r="G41" s="47"/>
      <c r="H41" s="47"/>
      <c r="I41" s="69">
        <v>12</v>
      </c>
      <c r="J41" s="69">
        <v>6</v>
      </c>
      <c r="K41" s="69"/>
      <c r="L41" s="69">
        <v>20</v>
      </c>
      <c r="M41" s="69">
        <v>3</v>
      </c>
      <c r="N41" s="69">
        <v>-2</v>
      </c>
      <c r="O41" s="69">
        <v>92</v>
      </c>
      <c r="P41" s="69">
        <v>-2</v>
      </c>
      <c r="Q41" s="69">
        <v>2</v>
      </c>
      <c r="R41" s="59">
        <f>J41/I41*2</f>
        <v>1</v>
      </c>
      <c r="S41" s="50">
        <f>((L41+N41+O41)*3/11)/I41</f>
        <v>2.5</v>
      </c>
      <c r="T41" s="50">
        <f t="shared" si="0"/>
        <v>0.12121212121212122</v>
      </c>
      <c r="U41" s="50">
        <f>M41/I41</f>
        <v>0.25</v>
      </c>
      <c r="V41" s="62">
        <f>S41+T41+U41</f>
        <v>2.8712121212121211</v>
      </c>
      <c r="W41" s="67">
        <f>2*R41*V41</f>
        <v>5.7424242424242422</v>
      </c>
      <c r="X41" s="68">
        <f>1/W41</f>
        <v>0.17414248021108181</v>
      </c>
    </row>
    <row r="42" spans="2:24" x14ac:dyDescent="0.45">
      <c r="B42" s="70" t="s">
        <v>49</v>
      </c>
      <c r="C42" s="47"/>
      <c r="D42" s="47" t="s">
        <v>80</v>
      </c>
      <c r="E42" s="47"/>
      <c r="F42" s="47"/>
      <c r="G42" s="47"/>
      <c r="H42" s="47"/>
      <c r="I42" s="69">
        <v>12</v>
      </c>
      <c r="J42" s="69">
        <v>6</v>
      </c>
      <c r="K42" s="69"/>
      <c r="L42" s="69">
        <v>20</v>
      </c>
      <c r="M42" s="69">
        <v>3</v>
      </c>
      <c r="N42" s="69">
        <v>-8</v>
      </c>
      <c r="O42" s="69">
        <v>92</v>
      </c>
      <c r="P42" s="69">
        <v>-2</v>
      </c>
      <c r="Q42" s="69">
        <v>2</v>
      </c>
      <c r="R42" s="59">
        <f>J42/I42*2</f>
        <v>1</v>
      </c>
      <c r="S42" s="50">
        <f>((L42+N42+O42)*3/11)/I42</f>
        <v>2.3636363636363638</v>
      </c>
      <c r="T42" s="50">
        <f t="shared" si="0"/>
        <v>0.12121212121212122</v>
      </c>
      <c r="U42" s="50">
        <f>M42/I42</f>
        <v>0.25</v>
      </c>
      <c r="V42" s="62">
        <f>S42+T42+U42</f>
        <v>2.7348484848484849</v>
      </c>
      <c r="W42" s="67">
        <f>2*R42*V42</f>
        <v>5.4696969696969697</v>
      </c>
      <c r="X42" s="68">
        <f>1/W42</f>
        <v>0.18282548476454294</v>
      </c>
    </row>
    <row r="43" spans="2:24" x14ac:dyDescent="0.45">
      <c r="B43" s="70"/>
      <c r="C43" s="47"/>
      <c r="D43" s="47"/>
      <c r="E43" s="47"/>
      <c r="F43" s="47"/>
      <c r="G43" s="47"/>
      <c r="H43" s="47"/>
      <c r="I43" s="69"/>
      <c r="J43" s="69"/>
      <c r="K43" s="69"/>
      <c r="L43" s="69"/>
      <c r="M43" s="69"/>
      <c r="N43" s="69"/>
      <c r="O43" s="69"/>
      <c r="P43" s="69"/>
      <c r="Q43" s="69"/>
      <c r="R43" s="59"/>
      <c r="S43" s="50"/>
      <c r="T43" s="50"/>
      <c r="U43" s="50"/>
      <c r="V43" s="62"/>
      <c r="W43" s="67"/>
      <c r="X43" s="68"/>
    </row>
    <row r="44" spans="2:24" x14ac:dyDescent="0.45">
      <c r="B44" s="49" t="s">
        <v>96</v>
      </c>
      <c r="C44" s="46"/>
      <c r="D44" s="47"/>
      <c r="E44" s="47"/>
      <c r="F44" s="47"/>
      <c r="G44" s="47"/>
      <c r="H44" s="47"/>
      <c r="I44" s="69"/>
      <c r="J44" s="69"/>
      <c r="K44" s="69"/>
      <c r="L44" s="69"/>
      <c r="M44" s="69"/>
      <c r="N44" s="69"/>
      <c r="O44" s="69"/>
      <c r="P44" s="69"/>
      <c r="Q44" s="69"/>
      <c r="R44" s="59"/>
      <c r="S44" s="50"/>
      <c r="T44" s="50"/>
      <c r="U44" s="50"/>
      <c r="V44" s="62"/>
      <c r="W44" s="67"/>
      <c r="X44" s="68"/>
    </row>
    <row r="45" spans="2:24" x14ac:dyDescent="0.45">
      <c r="B45" s="49" t="s">
        <v>40</v>
      </c>
      <c r="C45" s="46"/>
      <c r="D45" s="47" t="s">
        <v>78</v>
      </c>
      <c r="E45" s="47"/>
      <c r="F45" s="47"/>
      <c r="G45" s="47"/>
      <c r="H45" s="47"/>
      <c r="I45" s="69">
        <v>3</v>
      </c>
      <c r="J45" s="69">
        <v>1</v>
      </c>
      <c r="K45" s="69"/>
      <c r="L45" s="69"/>
      <c r="M45" s="69"/>
      <c r="N45" s="69"/>
      <c r="O45" s="69">
        <v>26</v>
      </c>
      <c r="P45" s="69">
        <v>-1</v>
      </c>
      <c r="Q45" s="69">
        <v>1</v>
      </c>
      <c r="R45" s="59">
        <f t="shared" si="1"/>
        <v>0.66666666666666663</v>
      </c>
      <c r="S45" s="50">
        <f t="shared" si="6"/>
        <v>2.3636363636363638</v>
      </c>
      <c r="T45" s="50">
        <f>(K45+Q45+P45*3/11)/I45</f>
        <v>0.24242424242424243</v>
      </c>
      <c r="U45" s="50">
        <f t="shared" si="2"/>
        <v>0</v>
      </c>
      <c r="V45" s="62">
        <f t="shared" si="3"/>
        <v>2.6060606060606064</v>
      </c>
      <c r="W45" s="67">
        <f t="shared" si="4"/>
        <v>3.4747474747474749</v>
      </c>
      <c r="X45" s="68">
        <f t="shared" si="5"/>
        <v>0.28779069767441862</v>
      </c>
    </row>
    <row r="46" spans="2:24" x14ac:dyDescent="0.45">
      <c r="B46" s="45" t="s">
        <v>52</v>
      </c>
      <c r="C46" s="47"/>
      <c r="D46" s="47" t="s">
        <v>79</v>
      </c>
      <c r="E46" s="47"/>
      <c r="F46" s="47"/>
      <c r="G46" s="47"/>
      <c r="H46" s="47"/>
      <c r="I46" s="69">
        <v>3</v>
      </c>
      <c r="J46" s="69">
        <v>1</v>
      </c>
      <c r="K46" s="69"/>
      <c r="L46" s="69"/>
      <c r="M46" s="69"/>
      <c r="N46" s="69">
        <v>-1</v>
      </c>
      <c r="O46" s="69">
        <v>26</v>
      </c>
      <c r="P46" s="69">
        <v>-1</v>
      </c>
      <c r="Q46" s="69">
        <v>1</v>
      </c>
      <c r="R46" s="59">
        <f t="shared" si="1"/>
        <v>0.66666666666666663</v>
      </c>
      <c r="S46" s="50">
        <f t="shared" si="6"/>
        <v>2.2727272727272729</v>
      </c>
      <c r="T46" s="50">
        <f>(K46+Q46+P46*3/11)/I46</f>
        <v>0.24242424242424243</v>
      </c>
      <c r="U46" s="50">
        <f t="shared" si="2"/>
        <v>0</v>
      </c>
      <c r="V46" s="62">
        <f t="shared" si="3"/>
        <v>2.5151515151515156</v>
      </c>
      <c r="W46" s="67">
        <f t="shared" si="4"/>
        <v>3.3535353535353538</v>
      </c>
      <c r="X46" s="68">
        <f t="shared" si="5"/>
        <v>0.29819277108433734</v>
      </c>
    </row>
    <row r="47" spans="2:24" ht="14.65" thickBot="1" x14ac:dyDescent="0.5">
      <c r="B47" s="71" t="s">
        <v>53</v>
      </c>
      <c r="C47" s="51"/>
      <c r="D47" s="51" t="s">
        <v>79</v>
      </c>
      <c r="E47" s="51"/>
      <c r="F47" s="51"/>
      <c r="G47" s="51"/>
      <c r="H47" s="51"/>
      <c r="I47" s="52">
        <v>3</v>
      </c>
      <c r="J47" s="52">
        <v>1</v>
      </c>
      <c r="K47" s="52"/>
      <c r="L47" s="52"/>
      <c r="M47" s="52"/>
      <c r="N47" s="52">
        <v>-4</v>
      </c>
      <c r="O47" s="52">
        <v>26</v>
      </c>
      <c r="P47" s="52">
        <v>-1</v>
      </c>
      <c r="Q47" s="52">
        <v>1</v>
      </c>
      <c r="R47" s="60">
        <f t="shared" si="1"/>
        <v>0.66666666666666663</v>
      </c>
      <c r="S47" s="53">
        <f t="shared" si="6"/>
        <v>2</v>
      </c>
      <c r="T47" s="53">
        <f>(K47+Q47+P47*3/11)/I47</f>
        <v>0.24242424242424243</v>
      </c>
      <c r="U47" s="53">
        <f t="shared" si="2"/>
        <v>0</v>
      </c>
      <c r="V47" s="63">
        <f t="shared" si="3"/>
        <v>2.2424242424242422</v>
      </c>
      <c r="W47" s="67">
        <f t="shared" si="4"/>
        <v>2.9898989898989896</v>
      </c>
      <c r="X47" s="68">
        <f t="shared" si="5"/>
        <v>0.33445945945945948</v>
      </c>
    </row>
    <row r="48" spans="2:24" s="75" customFormat="1" ht="14.65" thickBot="1" x14ac:dyDescent="0.5">
      <c r="B48" s="72"/>
      <c r="C48" s="72"/>
      <c r="D48" s="72"/>
      <c r="E48" s="72"/>
      <c r="F48" s="72"/>
      <c r="G48" s="72"/>
      <c r="H48" s="72"/>
      <c r="I48" s="73"/>
      <c r="J48" s="73"/>
      <c r="K48" s="73"/>
      <c r="L48" s="73"/>
      <c r="M48" s="73"/>
      <c r="N48" s="73"/>
      <c r="O48" s="73"/>
      <c r="P48" s="73"/>
      <c r="Q48" s="73"/>
      <c r="R48" s="73"/>
      <c r="S48" s="73"/>
      <c r="T48" s="73"/>
      <c r="U48" s="73"/>
      <c r="V48" s="73"/>
      <c r="W48" s="108"/>
      <c r="X48" s="109"/>
    </row>
    <row r="49" spans="2:24" s="87" customFormat="1" x14ac:dyDescent="0.45">
      <c r="B49" s="81" t="s">
        <v>107</v>
      </c>
      <c r="C49" s="82"/>
      <c r="D49" s="82"/>
      <c r="E49" s="82"/>
      <c r="F49" s="82"/>
      <c r="G49" s="82"/>
      <c r="H49" s="82"/>
      <c r="I49" s="83"/>
      <c r="J49" s="83"/>
      <c r="K49" s="83"/>
      <c r="L49" s="83"/>
      <c r="M49" s="83"/>
      <c r="N49" s="83"/>
      <c r="O49" s="83"/>
      <c r="P49" s="83"/>
      <c r="Q49" s="83"/>
      <c r="R49" s="83"/>
      <c r="S49" s="83"/>
      <c r="T49" s="83"/>
      <c r="U49" s="83"/>
      <c r="V49" s="84"/>
      <c r="W49" s="85"/>
      <c r="X49" s="86"/>
    </row>
    <row r="50" spans="2:24" s="87" customFormat="1" x14ac:dyDescent="0.45">
      <c r="B50" s="88"/>
      <c r="C50" s="89"/>
      <c r="D50" s="89"/>
      <c r="E50" s="89"/>
      <c r="F50" s="89"/>
      <c r="G50" s="89"/>
      <c r="H50" s="89"/>
      <c r="I50" s="90"/>
      <c r="J50" s="91" t="s">
        <v>103</v>
      </c>
      <c r="K50" s="89"/>
      <c r="L50" s="91" t="s">
        <v>104</v>
      </c>
      <c r="M50" s="89"/>
      <c r="N50" s="89" t="s">
        <v>106</v>
      </c>
      <c r="O50" s="90"/>
      <c r="P50" s="90"/>
      <c r="Q50" s="90"/>
      <c r="R50" s="90"/>
      <c r="S50" s="90"/>
      <c r="T50" s="90"/>
      <c r="U50" s="90"/>
      <c r="V50" s="92"/>
      <c r="W50" s="85"/>
      <c r="X50" s="86"/>
    </row>
    <row r="51" spans="2:24" s="87" customFormat="1" x14ac:dyDescent="0.45">
      <c r="B51" s="88" t="s">
        <v>102</v>
      </c>
      <c r="C51" s="89"/>
      <c r="D51" s="89" t="s">
        <v>105</v>
      </c>
      <c r="E51" s="89"/>
      <c r="F51" s="89"/>
      <c r="G51" s="89"/>
      <c r="H51" s="89"/>
      <c r="I51" s="90"/>
      <c r="J51" s="90">
        <v>2</v>
      </c>
      <c r="K51" s="90"/>
      <c r="L51" s="90"/>
      <c r="M51" s="89"/>
      <c r="N51" s="90"/>
      <c r="O51" s="90"/>
      <c r="P51" s="90"/>
      <c r="Q51" s="90"/>
      <c r="R51" s="90"/>
      <c r="S51" s="90"/>
      <c r="T51" s="93"/>
      <c r="U51" s="93"/>
      <c r="V51" s="94"/>
    </row>
    <row r="52" spans="2:24" s="87" customFormat="1" x14ac:dyDescent="0.45">
      <c r="B52" s="88" t="s">
        <v>98</v>
      </c>
      <c r="C52" s="89"/>
      <c r="D52" s="89" t="s">
        <v>100</v>
      </c>
      <c r="E52" s="89"/>
      <c r="F52" s="89"/>
      <c r="G52" s="89"/>
      <c r="H52" s="89"/>
      <c r="I52" s="90"/>
      <c r="J52" s="90"/>
      <c r="K52" s="90"/>
      <c r="L52" s="90">
        <v>6</v>
      </c>
      <c r="M52" s="89"/>
      <c r="N52" s="90"/>
      <c r="O52" s="90"/>
      <c r="P52" s="90"/>
      <c r="Q52" s="90"/>
      <c r="R52" s="90"/>
      <c r="S52" s="90"/>
      <c r="T52" s="93"/>
      <c r="U52" s="93"/>
      <c r="V52" s="94"/>
    </row>
    <row r="53" spans="2:24" s="87" customFormat="1" x14ac:dyDescent="0.45">
      <c r="B53" s="88" t="s">
        <v>99</v>
      </c>
      <c r="C53" s="89"/>
      <c r="D53" s="89" t="s">
        <v>101</v>
      </c>
      <c r="E53" s="89"/>
      <c r="F53" s="89"/>
      <c r="G53" s="89"/>
      <c r="H53" s="89"/>
      <c r="I53" s="90"/>
      <c r="J53" s="90">
        <v>1</v>
      </c>
      <c r="K53" s="90"/>
      <c r="L53" s="90">
        <v>3</v>
      </c>
      <c r="M53" s="89"/>
      <c r="N53" s="90"/>
      <c r="O53" s="90"/>
      <c r="P53" s="90"/>
      <c r="Q53" s="90"/>
      <c r="R53" s="90"/>
      <c r="S53" s="90"/>
      <c r="T53" s="93"/>
      <c r="U53" s="93"/>
      <c r="V53" s="94"/>
    </row>
    <row r="54" spans="2:24" s="87" customFormat="1" x14ac:dyDescent="0.45">
      <c r="B54" s="88" t="s">
        <v>111</v>
      </c>
      <c r="C54" s="89"/>
      <c r="D54" s="89" t="s">
        <v>112</v>
      </c>
      <c r="E54" s="89"/>
      <c r="F54" s="89"/>
      <c r="G54" s="89"/>
      <c r="H54" s="89"/>
      <c r="I54" s="90"/>
      <c r="J54" s="90"/>
      <c r="K54" s="90"/>
      <c r="L54" s="90">
        <v>2</v>
      </c>
      <c r="M54" s="89"/>
      <c r="N54" s="90"/>
      <c r="O54" s="90"/>
      <c r="P54" s="90"/>
      <c r="Q54" s="90"/>
      <c r="R54" s="90"/>
      <c r="S54" s="90"/>
      <c r="T54" s="93"/>
      <c r="U54" s="93"/>
      <c r="V54" s="94"/>
    </row>
    <row r="55" spans="2:24" s="87" customFormat="1" ht="14.65" thickBot="1" x14ac:dyDescent="0.5">
      <c r="B55" s="95"/>
      <c r="C55" s="96"/>
      <c r="D55" s="96"/>
      <c r="E55" s="96"/>
      <c r="F55" s="96"/>
      <c r="G55" s="96"/>
      <c r="H55" s="96"/>
      <c r="I55" s="96"/>
      <c r="J55" s="97"/>
      <c r="K55" s="97"/>
      <c r="L55" s="96"/>
      <c r="M55" s="97"/>
      <c r="N55" s="98">
        <f>(L52*G25+L53*G26+L54*G27)/(J51*G24+J53*G26+L52*G25+L53*G26+L54*G27)</f>
        <v>0</v>
      </c>
      <c r="O55" s="97"/>
      <c r="P55" s="97"/>
      <c r="Q55" s="97"/>
      <c r="R55" s="97"/>
      <c r="S55" s="97"/>
      <c r="T55" s="97"/>
      <c r="U55" s="97"/>
      <c r="V55" s="99"/>
    </row>
    <row r="56" spans="2:24" s="75" customFormat="1" x14ac:dyDescent="0.45">
      <c r="B56" s="72"/>
      <c r="C56" s="72"/>
      <c r="D56" s="76"/>
      <c r="E56" s="76"/>
      <c r="F56" s="76"/>
      <c r="G56" s="76"/>
      <c r="H56" s="76"/>
      <c r="I56" s="105"/>
      <c r="J56" s="73"/>
      <c r="K56" s="73"/>
      <c r="L56" s="72"/>
      <c r="M56" s="73"/>
      <c r="N56" s="74"/>
      <c r="O56" s="73"/>
      <c r="P56" s="73"/>
      <c r="Q56" s="73"/>
      <c r="R56" s="73"/>
      <c r="S56" s="73"/>
      <c r="T56" s="73"/>
      <c r="U56" s="73"/>
      <c r="V56" s="73"/>
    </row>
    <row r="57" spans="2:24" ht="15" customHeight="1" x14ac:dyDescent="0.45">
      <c r="B57" s="127" t="s">
        <v>138</v>
      </c>
    </row>
    <row r="58" spans="2:24" x14ac:dyDescent="0.45">
      <c r="B58" s="127" t="s">
        <v>137</v>
      </c>
    </row>
    <row r="59" spans="2:24" x14ac:dyDescent="0.45">
      <c r="B59" s="127" t="s">
        <v>71</v>
      </c>
    </row>
    <row r="60" spans="2:24" x14ac:dyDescent="0.45">
      <c r="B60" s="127" t="s">
        <v>77</v>
      </c>
    </row>
    <row r="61" spans="2:24" x14ac:dyDescent="0.45">
      <c r="B61" s="127" t="s">
        <v>149</v>
      </c>
    </row>
    <row r="62" spans="2:24" x14ac:dyDescent="0.45">
      <c r="B62" s="127" t="s">
        <v>140</v>
      </c>
    </row>
    <row r="63" spans="2:24" x14ac:dyDescent="0.45">
      <c r="B63" s="127" t="s">
        <v>141</v>
      </c>
    </row>
    <row r="64" spans="2:24" s="130" customFormat="1" x14ac:dyDescent="0.45">
      <c r="B64" s="127" t="s">
        <v>142</v>
      </c>
    </row>
    <row r="65" spans="2:2" x14ac:dyDescent="0.45">
      <c r="B65" s="127" t="s">
        <v>150</v>
      </c>
    </row>
  </sheetData>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1"/>
  <sheetViews>
    <sheetView workbookViewId="0">
      <selection activeCell="K19" sqref="K19"/>
    </sheetView>
  </sheetViews>
  <sheetFormatPr defaultColWidth="8.796875" defaultRowHeight="14.25" x14ac:dyDescent="0.45"/>
  <cols>
    <col min="1" max="1" width="2.796875" customWidth="1"/>
    <col min="2" max="2" width="9.1328125" style="110" customWidth="1"/>
    <col min="3" max="3" width="6.46484375" style="110" customWidth="1"/>
    <col min="4" max="4" width="9.1328125" style="110" customWidth="1"/>
    <col min="5" max="5" width="5.1328125" style="110" customWidth="1"/>
    <col min="6" max="6" width="5.33203125" customWidth="1"/>
    <col min="7" max="11" width="8.6640625" customWidth="1"/>
    <col min="12" max="12" width="7" customWidth="1"/>
    <col min="13" max="19" width="10" customWidth="1"/>
    <col min="20" max="22" width="8" customWidth="1"/>
    <col min="23" max="23" width="10" customWidth="1"/>
    <col min="24" max="24" width="13" style="110" customWidth="1"/>
    <col min="25" max="25" width="16" bestFit="1" customWidth="1"/>
  </cols>
  <sheetData>
    <row r="1" spans="1:25" ht="29" customHeight="1" x14ac:dyDescent="0.55000000000000004">
      <c r="B1" s="5" t="s">
        <v>24</v>
      </c>
      <c r="C1" s="5"/>
      <c r="D1" s="5"/>
      <c r="E1" s="5"/>
    </row>
    <row r="2" spans="1:25" ht="16.05" customHeight="1" x14ac:dyDescent="0.55000000000000004">
      <c r="B2" s="15" t="s">
        <v>92</v>
      </c>
      <c r="C2" s="15"/>
      <c r="D2" s="15"/>
      <c r="E2" s="15"/>
      <c r="F2" s="2"/>
    </row>
    <row r="3" spans="1:25" ht="14.65" thickBot="1" x14ac:dyDescent="0.5">
      <c r="F3" s="4"/>
      <c r="G3" s="4"/>
    </row>
    <row r="4" spans="1:25" x14ac:dyDescent="0.45">
      <c r="B4" s="107" t="s">
        <v>25</v>
      </c>
      <c r="C4" s="107"/>
      <c r="D4" s="107"/>
      <c r="E4" s="107"/>
      <c r="F4" s="3"/>
      <c r="G4" s="3"/>
      <c r="H4" s="3"/>
      <c r="I4" s="3"/>
      <c r="J4" s="3"/>
      <c r="K4" s="3"/>
      <c r="M4" s="9" t="s">
        <v>28</v>
      </c>
      <c r="N4" s="6"/>
      <c r="O4" s="6"/>
      <c r="P4" s="6"/>
      <c r="Q4" s="6"/>
      <c r="R4" s="6"/>
      <c r="S4" s="6"/>
      <c r="T4" s="6"/>
      <c r="U4" s="6"/>
      <c r="V4" s="6"/>
      <c r="W4" s="6"/>
      <c r="X4" s="117"/>
      <c r="Y4" s="7"/>
    </row>
    <row r="5" spans="1:25" x14ac:dyDescent="0.45">
      <c r="B5" s="123"/>
      <c r="C5" s="155" t="s">
        <v>113</v>
      </c>
      <c r="D5" s="155"/>
      <c r="E5" s="155"/>
      <c r="F5" s="155"/>
      <c r="G5" s="123" t="s">
        <v>9</v>
      </c>
      <c r="H5" s="123" t="s">
        <v>13</v>
      </c>
      <c r="I5" s="123" t="s">
        <v>13</v>
      </c>
      <c r="J5" s="123" t="s">
        <v>13</v>
      </c>
      <c r="K5" s="123" t="s">
        <v>16</v>
      </c>
      <c r="L5" s="123" t="s">
        <v>16</v>
      </c>
      <c r="M5" s="8" t="s">
        <v>18</v>
      </c>
      <c r="N5" s="123" t="s">
        <v>18</v>
      </c>
      <c r="O5" s="123" t="s">
        <v>20</v>
      </c>
      <c r="P5" s="123" t="s">
        <v>22</v>
      </c>
      <c r="Q5" s="123" t="s">
        <v>20</v>
      </c>
      <c r="R5" s="146" t="s">
        <v>116</v>
      </c>
      <c r="S5" s="146"/>
      <c r="T5" s="147" t="s">
        <v>122</v>
      </c>
      <c r="U5" s="147"/>
      <c r="V5" s="147"/>
      <c r="W5" s="148" t="s">
        <v>125</v>
      </c>
      <c r="X5" s="148"/>
      <c r="Y5" s="12"/>
    </row>
    <row r="6" spans="1:25" ht="43.5" x14ac:dyDescent="0.55000000000000004">
      <c r="B6" s="123"/>
      <c r="C6" s="149" t="s">
        <v>134</v>
      </c>
      <c r="D6" s="149"/>
      <c r="E6" s="149"/>
      <c r="F6" s="106" t="s">
        <v>129</v>
      </c>
      <c r="G6" s="123" t="s">
        <v>10</v>
      </c>
      <c r="H6" s="123" t="s">
        <v>12</v>
      </c>
      <c r="I6" s="123" t="s">
        <v>14</v>
      </c>
      <c r="J6" s="123" t="s">
        <v>15</v>
      </c>
      <c r="K6" s="106" t="s">
        <v>126</v>
      </c>
      <c r="L6" s="123" t="s">
        <v>127</v>
      </c>
      <c r="M6" s="8" t="s">
        <v>17</v>
      </c>
      <c r="N6" s="123" t="s">
        <v>19</v>
      </c>
      <c r="O6" s="123" t="s">
        <v>12</v>
      </c>
      <c r="P6" s="123" t="s">
        <v>21</v>
      </c>
      <c r="Q6" s="123" t="s">
        <v>23</v>
      </c>
      <c r="R6" s="106" t="s">
        <v>117</v>
      </c>
      <c r="S6" s="106" t="s">
        <v>118</v>
      </c>
      <c r="T6" s="106" t="s">
        <v>119</v>
      </c>
      <c r="U6" s="106" t="s">
        <v>120</v>
      </c>
      <c r="V6" s="106" t="s">
        <v>121</v>
      </c>
      <c r="W6" s="106" t="s">
        <v>123</v>
      </c>
      <c r="X6" s="123" t="s">
        <v>124</v>
      </c>
      <c r="Y6" s="115" t="s">
        <v>128</v>
      </c>
    </row>
    <row r="7" spans="1:25" x14ac:dyDescent="0.45">
      <c r="B7" s="123"/>
      <c r="C7" s="123"/>
      <c r="D7" s="123"/>
      <c r="E7" s="123"/>
      <c r="F7" s="123"/>
      <c r="G7" s="123" t="s">
        <v>4</v>
      </c>
      <c r="H7" s="150" t="s">
        <v>144</v>
      </c>
      <c r="I7" s="150"/>
      <c r="J7" s="150"/>
      <c r="K7" s="151" t="s">
        <v>5</v>
      </c>
      <c r="L7" s="151"/>
      <c r="M7" s="152" t="s">
        <v>6</v>
      </c>
      <c r="N7" s="153"/>
      <c r="O7" s="154" t="s">
        <v>7</v>
      </c>
      <c r="P7" s="154"/>
      <c r="Q7" s="154"/>
      <c r="R7" s="111" t="s">
        <v>8</v>
      </c>
      <c r="S7" s="111"/>
      <c r="T7" s="111"/>
      <c r="U7" s="111"/>
      <c r="V7" s="111"/>
      <c r="W7" s="111"/>
      <c r="X7" s="124"/>
      <c r="Y7" s="119"/>
    </row>
    <row r="8" spans="1:25" x14ac:dyDescent="0.45">
      <c r="A8" s="75"/>
      <c r="C8" s="73"/>
      <c r="D8" s="73"/>
      <c r="E8" s="73"/>
      <c r="F8" s="73"/>
      <c r="G8" s="73"/>
      <c r="H8" s="73"/>
      <c r="I8" s="73"/>
      <c r="J8" s="73"/>
      <c r="K8" s="73"/>
      <c r="L8" s="75"/>
      <c r="M8" s="79"/>
      <c r="N8" s="73"/>
      <c r="O8" s="73"/>
      <c r="P8" s="73"/>
      <c r="Q8" s="73"/>
      <c r="R8" s="73"/>
      <c r="S8" s="73"/>
      <c r="T8" s="73"/>
      <c r="U8" s="73"/>
      <c r="V8" s="73"/>
      <c r="W8" s="73"/>
      <c r="X8" s="123"/>
      <c r="Y8" s="12"/>
    </row>
    <row r="9" spans="1:25" x14ac:dyDescent="0.45">
      <c r="A9" s="75"/>
      <c r="B9" s="125" t="s">
        <v>143</v>
      </c>
      <c r="C9" s="13" t="s">
        <v>115</v>
      </c>
      <c r="D9" s="13">
        <v>0</v>
      </c>
      <c r="E9" s="13" t="s">
        <v>130</v>
      </c>
      <c r="F9" s="120" t="s">
        <v>131</v>
      </c>
      <c r="G9" s="14">
        <v>10</v>
      </c>
      <c r="H9" s="121">
        <v>64.394342740374</v>
      </c>
      <c r="I9" s="121">
        <v>24.301691981568201</v>
      </c>
      <c r="J9" s="121">
        <v>20</v>
      </c>
      <c r="K9" s="122">
        <v>7.2257119861297801</v>
      </c>
      <c r="L9" s="114">
        <f>K9/G9</f>
        <v>0.72257119861297803</v>
      </c>
      <c r="M9" s="10">
        <f>(H9-J9)/G9</f>
        <v>4.4394342740374002</v>
      </c>
      <c r="N9" s="11">
        <f>((H9-I9)/'Constants and Assumptions'!G$13)/G9</f>
        <v>4.415490171674648</v>
      </c>
      <c r="O9" s="11">
        <f>K9/'Constants and Assumptions'!G$8/G9</f>
        <v>16.057137746955068</v>
      </c>
      <c r="P9" s="11">
        <f>(10^('Constants and Assumptions'!G$7-'Constants and Assumptions'!G$9))/(1+(10^('Constants and Assumptions'!G$7-'Constants and Assumptions'!G$9)))*'Constants and Assumptions'!G$29*M9</f>
        <v>4.2307831329012702</v>
      </c>
      <c r="Q9" s="11">
        <f>O9-P9</f>
        <v>11.826354614053798</v>
      </c>
      <c r="R9" s="11">
        <f>Q9*1</f>
        <v>11.826354614053798</v>
      </c>
      <c r="S9" s="11">
        <f>M9*'Constants and Assumptions'!G$32*2</f>
        <v>1.4798114246791334</v>
      </c>
      <c r="T9" s="112">
        <f>((N9*('Constants and Assumptions'!L$37+'Constants and Assumptions'!N$37)*3/11)/'Constants and Assumptions'!I$37)*2</f>
        <v>3.6126737768247121</v>
      </c>
      <c r="U9" s="112">
        <f>((N9*'Constants and Assumptions'!O$37*3/11)/'Constants and Assumptions'!I$37)*2</f>
        <v>18.464777081548529</v>
      </c>
      <c r="V9" s="112">
        <f>(M9*'Constants and Assumptions'!G$31)*2</f>
        <v>1.0762264906757335</v>
      </c>
      <c r="W9" s="113">
        <f>(Q9*1)+M9*'Constants and Assumptions'!G$32*2</f>
        <v>13.306166038732933</v>
      </c>
      <c r="X9" s="116">
        <f>SUM(T9:V9)</f>
        <v>23.153677349048973</v>
      </c>
      <c r="Y9" s="118">
        <f>SUM(W9+X9)</f>
        <v>36.459843387781902</v>
      </c>
    </row>
    <row r="10" spans="1:25" x14ac:dyDescent="0.45">
      <c r="A10" s="75"/>
      <c r="B10" s="125" t="s">
        <v>143</v>
      </c>
      <c r="C10" s="13" t="s">
        <v>115</v>
      </c>
      <c r="D10" s="13">
        <v>0</v>
      </c>
      <c r="E10" s="13" t="s">
        <v>130</v>
      </c>
      <c r="F10" s="120" t="s">
        <v>132</v>
      </c>
      <c r="G10" s="14">
        <v>10</v>
      </c>
      <c r="H10" s="121">
        <v>67.159981796071605</v>
      </c>
      <c r="I10" s="121">
        <v>29.261022503246199</v>
      </c>
      <c r="J10" s="121">
        <v>20</v>
      </c>
      <c r="K10" s="122">
        <v>11.4078341541236</v>
      </c>
      <c r="L10" s="114">
        <f>K10/G10</f>
        <v>1.1407834154123599</v>
      </c>
      <c r="M10" s="10">
        <f>(H10-J10)/G10</f>
        <v>4.7159981796071602</v>
      </c>
      <c r="N10" s="11">
        <f>((H10-I10)/'Constants and Assumptions'!G$13)/G10</f>
        <v>4.1738941952450892</v>
      </c>
      <c r="O10" s="11">
        <f>K10/'Constants and Assumptions'!G$8/G10</f>
        <v>25.350742564719113</v>
      </c>
      <c r="P10" s="11">
        <f>(10^('Constants and Assumptions'!G$7-'Constants and Assumptions'!G$9))/(1+(10^('Constants and Assumptions'!G$7-'Constants and Assumptions'!G$9)))*'Constants and Assumptions'!G$29*M10</f>
        <v>4.4943486763077098</v>
      </c>
      <c r="Q10" s="11">
        <f>O10-P10</f>
        <v>20.856393888411404</v>
      </c>
      <c r="R10" s="11">
        <f>Q10*1</f>
        <v>20.856393888411404</v>
      </c>
      <c r="S10" s="11">
        <f>M10*'Constants and Assumptions'!G$32*2</f>
        <v>1.5719993932023866</v>
      </c>
      <c r="T10" s="112">
        <f>((N10*('Constants and Assumptions'!L$37+'Constants and Assumptions'!N$37)*3/11)/'Constants and Assumptions'!I$37)*2</f>
        <v>3.4150043415641638</v>
      </c>
      <c r="U10" s="112">
        <f>((N10*'Constants and Assumptions'!O$37*3/11)/'Constants and Assumptions'!I$37)*2</f>
        <v>17.454466634661284</v>
      </c>
      <c r="V10" s="112">
        <f>(M10*'Constants and Assumptions'!G$31)*2</f>
        <v>1.1432722859653721</v>
      </c>
      <c r="W10" s="113">
        <f>(Q10*1)+M10*'Constants and Assumptions'!G$32*2</f>
        <v>22.42839328161379</v>
      </c>
      <c r="X10" s="116">
        <f>SUM(T10:V10)</f>
        <v>22.012743262190821</v>
      </c>
      <c r="Y10" s="118">
        <f>SUM(W10+X10)</f>
        <v>44.44113654380461</v>
      </c>
    </row>
    <row r="11" spans="1:25" x14ac:dyDescent="0.45">
      <c r="A11" s="75"/>
      <c r="B11" s="125" t="s">
        <v>143</v>
      </c>
      <c r="C11" s="13" t="s">
        <v>115</v>
      </c>
      <c r="D11" s="13">
        <v>0</v>
      </c>
      <c r="E11" s="13" t="s">
        <v>130</v>
      </c>
      <c r="F11" s="120" t="s">
        <v>133</v>
      </c>
      <c r="G11" s="14">
        <v>10</v>
      </c>
      <c r="H11" s="121">
        <v>67.732148697015603</v>
      </c>
      <c r="I11" s="121">
        <v>24.904943054355201</v>
      </c>
      <c r="J11" s="121">
        <v>20</v>
      </c>
      <c r="K11" s="122">
        <v>11.9157573381218</v>
      </c>
      <c r="L11" s="114">
        <f>K11/G11</f>
        <v>1.19157573381218</v>
      </c>
      <c r="M11" s="10">
        <f>(H11-J11)/G11</f>
        <v>4.7732148697015599</v>
      </c>
      <c r="N11" s="11">
        <f>((H11-I11)/'Constants and Assumptions'!G$13)/G11</f>
        <v>4.7166526038172254</v>
      </c>
      <c r="O11" s="11">
        <f>K11/'Constants and Assumptions'!G$8/G11</f>
        <v>26.479460751381776</v>
      </c>
      <c r="P11" s="11">
        <f>(10^('Constants and Assumptions'!G$7-'Constants and Assumptions'!G$9))/(1+(10^('Constants and Assumptions'!G$7-'Constants and Assumptions'!G$9)))*'Constants and Assumptions'!G$29*M11</f>
        <v>4.5488762112207732</v>
      </c>
      <c r="Q11" s="11">
        <f>O11-P11</f>
        <v>21.930584540161004</v>
      </c>
      <c r="R11" s="11">
        <f>Q11*1</f>
        <v>21.930584540161004</v>
      </c>
      <c r="S11" s="11">
        <f>M11*'Constants and Assumptions'!G$32*2</f>
        <v>1.5910716232338533</v>
      </c>
      <c r="T11" s="112">
        <f>((N11*('Constants and Assumptions'!L$37+'Constants and Assumptions'!N$37)*3/11)/'Constants and Assumptions'!I$37)*2</f>
        <v>3.8590794031231841</v>
      </c>
      <c r="U11" s="112">
        <f>((N11*'Constants and Assumptions'!O$37*3/11)/'Constants and Assumptions'!I$37)*2</f>
        <v>19.724183615962943</v>
      </c>
      <c r="V11" s="112">
        <f>(M11*'Constants and Assumptions'!G$31)*2</f>
        <v>1.1571429987155297</v>
      </c>
      <c r="W11" s="113">
        <f>(Q11*1)+M11*'Constants and Assumptions'!G$32*2</f>
        <v>23.521656163394859</v>
      </c>
      <c r="X11" s="116">
        <f>SUM(T11:V11)</f>
        <v>24.740406017801654</v>
      </c>
      <c r="Y11" s="118">
        <f>SUM(W11+X11)</f>
        <v>48.262062181196512</v>
      </c>
    </row>
  </sheetData>
  <mergeCells count="9">
    <mergeCell ref="R5:S5"/>
    <mergeCell ref="T5:V5"/>
    <mergeCell ref="W5:X5"/>
    <mergeCell ref="C6:E6"/>
    <mergeCell ref="H7:J7"/>
    <mergeCell ref="K7:L7"/>
    <mergeCell ref="M7:N7"/>
    <mergeCell ref="O7:Q7"/>
    <mergeCell ref="C5:F5"/>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500E-B4D1-4782-989F-0F8020FF7BB2}">
  <dimension ref="A1:Y13"/>
  <sheetViews>
    <sheetView workbookViewId="0">
      <selection activeCell="M25" sqref="M25"/>
    </sheetView>
  </sheetViews>
  <sheetFormatPr defaultColWidth="8.796875" defaultRowHeight="14.25" x14ac:dyDescent="0.45"/>
  <cols>
    <col min="1" max="1" width="2.796875" style="130" customWidth="1"/>
    <col min="2" max="2" width="9.1328125" style="134" customWidth="1"/>
    <col min="3" max="3" width="6.46484375" style="134" customWidth="1"/>
    <col min="4" max="4" width="9.1328125" style="134" customWidth="1"/>
    <col min="5" max="5" width="7" style="134" customWidth="1"/>
    <col min="6" max="6" width="5.33203125" style="130" customWidth="1"/>
    <col min="7" max="11" width="8.6640625" style="130" customWidth="1"/>
    <col min="12" max="12" width="7" style="130" customWidth="1"/>
    <col min="13" max="13" width="13.33203125" style="130" customWidth="1"/>
    <col min="14" max="19" width="10" style="130" customWidth="1"/>
    <col min="20" max="22" width="8" style="130" customWidth="1"/>
    <col min="23" max="23" width="10" style="130" customWidth="1"/>
    <col min="24" max="24" width="13" style="134" customWidth="1"/>
    <col min="25" max="25" width="16" style="130" bestFit="1" customWidth="1"/>
    <col min="26" max="16384" width="8.796875" style="130"/>
  </cols>
  <sheetData>
    <row r="1" spans="1:25" ht="29" customHeight="1" x14ac:dyDescent="0.55000000000000004">
      <c r="B1" s="131" t="s">
        <v>24</v>
      </c>
      <c r="C1" s="131"/>
      <c r="D1" s="131"/>
      <c r="E1" s="131"/>
    </row>
    <row r="2" spans="1:25" ht="16.05" customHeight="1" x14ac:dyDescent="0.55000000000000004">
      <c r="B2" s="132" t="s">
        <v>92</v>
      </c>
      <c r="C2" s="132"/>
      <c r="D2" s="132"/>
      <c r="E2" s="132"/>
      <c r="F2" s="133"/>
    </row>
    <row r="3" spans="1:25" ht="14.65" thickBot="1" x14ac:dyDescent="0.5">
      <c r="B3" s="135" t="s">
        <v>146</v>
      </c>
      <c r="E3" s="128">
        <v>10000</v>
      </c>
      <c r="F3" s="135" t="s">
        <v>147</v>
      </c>
      <c r="G3" s="135"/>
    </row>
    <row r="4" spans="1:25" x14ac:dyDescent="0.45">
      <c r="B4" s="107" t="s">
        <v>25</v>
      </c>
      <c r="C4" s="107"/>
      <c r="D4" s="107"/>
      <c r="E4" s="107"/>
      <c r="F4" s="136"/>
      <c r="G4" s="136"/>
      <c r="H4" s="136"/>
      <c r="I4" s="136"/>
      <c r="J4" s="136"/>
      <c r="K4" s="136"/>
      <c r="M4" s="9" t="s">
        <v>28</v>
      </c>
      <c r="N4" s="6"/>
      <c r="O4" s="6"/>
      <c r="P4" s="6"/>
      <c r="Q4" s="6"/>
      <c r="R4" s="6"/>
      <c r="S4" s="6"/>
      <c r="T4" s="6"/>
      <c r="U4" s="6"/>
      <c r="V4" s="6"/>
      <c r="W4" s="6"/>
      <c r="X4" s="117"/>
      <c r="Y4" s="7"/>
    </row>
    <row r="5" spans="1:25" x14ac:dyDescent="0.45">
      <c r="B5" s="138"/>
      <c r="C5" s="155" t="s">
        <v>113</v>
      </c>
      <c r="D5" s="155"/>
      <c r="E5" s="155"/>
      <c r="F5" s="155"/>
      <c r="G5" s="138" t="s">
        <v>9</v>
      </c>
      <c r="H5" s="138" t="s">
        <v>13</v>
      </c>
      <c r="I5" s="138" t="s">
        <v>13</v>
      </c>
      <c r="J5" s="138" t="s">
        <v>13</v>
      </c>
      <c r="K5" s="138" t="s">
        <v>16</v>
      </c>
      <c r="L5" s="138" t="s">
        <v>16</v>
      </c>
      <c r="M5" s="137" t="s">
        <v>18</v>
      </c>
      <c r="N5" s="138" t="s">
        <v>18</v>
      </c>
      <c r="O5" s="138" t="s">
        <v>20</v>
      </c>
      <c r="P5" s="138" t="s">
        <v>22</v>
      </c>
      <c r="Q5" s="138" t="s">
        <v>20</v>
      </c>
      <c r="R5" s="146" t="s">
        <v>116</v>
      </c>
      <c r="S5" s="146"/>
      <c r="T5" s="147" t="s">
        <v>122</v>
      </c>
      <c r="U5" s="147"/>
      <c r="V5" s="147"/>
      <c r="W5" s="148" t="s">
        <v>125</v>
      </c>
      <c r="X5" s="148"/>
      <c r="Y5" s="12"/>
    </row>
    <row r="6" spans="1:25" ht="43.5" x14ac:dyDescent="0.55000000000000004">
      <c r="B6" s="138"/>
      <c r="C6" s="149" t="s">
        <v>134</v>
      </c>
      <c r="D6" s="149"/>
      <c r="E6" s="149"/>
      <c r="F6" s="126" t="s">
        <v>129</v>
      </c>
      <c r="G6" s="138" t="s">
        <v>10</v>
      </c>
      <c r="H6" s="138" t="s">
        <v>12</v>
      </c>
      <c r="I6" s="138" t="s">
        <v>14</v>
      </c>
      <c r="J6" s="138" t="s">
        <v>15</v>
      </c>
      <c r="K6" s="126" t="s">
        <v>126</v>
      </c>
      <c r="L6" s="126" t="str">
        <f>"per "&amp;E3&amp;" cells"</f>
        <v>per 10000 cells</v>
      </c>
      <c r="M6" s="137" t="s">
        <v>17</v>
      </c>
      <c r="N6" s="138" t="s">
        <v>19</v>
      </c>
      <c r="O6" s="138" t="s">
        <v>12</v>
      </c>
      <c r="P6" s="138" t="s">
        <v>21</v>
      </c>
      <c r="Q6" s="138" t="s">
        <v>23</v>
      </c>
      <c r="R6" s="126" t="s">
        <v>117</v>
      </c>
      <c r="S6" s="126" t="s">
        <v>118</v>
      </c>
      <c r="T6" s="126" t="s">
        <v>119</v>
      </c>
      <c r="U6" s="126" t="s">
        <v>120</v>
      </c>
      <c r="V6" s="126" t="s">
        <v>121</v>
      </c>
      <c r="W6" s="126" t="s">
        <v>123</v>
      </c>
      <c r="X6" s="138" t="s">
        <v>124</v>
      </c>
      <c r="Y6" s="115" t="s">
        <v>128</v>
      </c>
    </row>
    <row r="7" spans="1:25" x14ac:dyDescent="0.45">
      <c r="B7" s="138"/>
      <c r="C7" s="138"/>
      <c r="D7" s="138"/>
      <c r="E7" s="138"/>
      <c r="F7" s="138"/>
      <c r="G7" s="138" t="s">
        <v>145</v>
      </c>
      <c r="H7" s="150" t="s">
        <v>144</v>
      </c>
      <c r="I7" s="150"/>
      <c r="J7" s="150"/>
      <c r="K7" s="151" t="s">
        <v>5</v>
      </c>
      <c r="L7" s="151"/>
      <c r="M7" s="152" t="str">
        <f>"(pmol O2/min/"&amp;E3&amp;" cells)"</f>
        <v>(pmol O2/min/10000 cells)</v>
      </c>
      <c r="N7" s="153"/>
      <c r="O7" s="154" t="str">
        <f>"(pmol H+/min/"&amp;E3&amp;" cells)"</f>
        <v>(pmol H+/min/10000 cells)</v>
      </c>
      <c r="P7" s="154"/>
      <c r="Q7" s="154"/>
      <c r="R7" s="111" t="str">
        <f>"(pmol ATP/min/"&amp;E3&amp;" cells)"</f>
        <v>(pmol ATP/min/10000 cells)</v>
      </c>
      <c r="S7" s="111"/>
      <c r="T7" s="111"/>
      <c r="U7" s="111"/>
      <c r="V7" s="111"/>
      <c r="W7" s="111"/>
      <c r="X7" s="144"/>
      <c r="Y7" s="145"/>
    </row>
    <row r="8" spans="1:25" x14ac:dyDescent="0.45">
      <c r="A8" s="75"/>
      <c r="C8" s="141"/>
      <c r="D8" s="141"/>
      <c r="E8" s="141"/>
      <c r="F8" s="141"/>
      <c r="G8" s="141"/>
      <c r="H8" s="141"/>
      <c r="I8" s="141"/>
      <c r="J8" s="141"/>
      <c r="K8" s="141"/>
      <c r="L8" s="75"/>
      <c r="M8" s="79"/>
      <c r="N8" s="141"/>
      <c r="O8" s="141"/>
      <c r="P8" s="141"/>
      <c r="Q8" s="141"/>
      <c r="R8" s="141"/>
      <c r="S8" s="141"/>
      <c r="T8" s="141"/>
      <c r="U8" s="141"/>
      <c r="V8" s="141"/>
      <c r="W8" s="141"/>
      <c r="X8" s="138"/>
      <c r="Y8" s="12"/>
    </row>
    <row r="9" spans="1:25" x14ac:dyDescent="0.45">
      <c r="A9" s="75"/>
      <c r="B9" s="125" t="s">
        <v>143</v>
      </c>
      <c r="C9" s="13" t="s">
        <v>115</v>
      </c>
      <c r="D9" s="13">
        <v>0</v>
      </c>
      <c r="E9" s="13" t="s">
        <v>130</v>
      </c>
      <c r="F9" s="120" t="s">
        <v>131</v>
      </c>
      <c r="G9" s="14">
        <v>10000</v>
      </c>
      <c r="H9" s="121">
        <v>64.394342740374</v>
      </c>
      <c r="I9" s="121">
        <v>24.301691981568201</v>
      </c>
      <c r="J9" s="121">
        <v>20</v>
      </c>
      <c r="K9" s="122">
        <v>7.2257119861297801</v>
      </c>
      <c r="L9" s="114">
        <f>K9/G9*$E$3</f>
        <v>7.2257119861297801</v>
      </c>
      <c r="M9" s="139">
        <f>(H9-J9)/G9*$E$3</f>
        <v>44.394342740374</v>
      </c>
      <c r="N9" s="140">
        <f>((H9-I9)/'Constants and Assumptions'!G$13)/G9*$E$3</f>
        <v>44.15490171674648</v>
      </c>
      <c r="O9" s="140">
        <f>K9/'Constants and Assumptions'!G$8/G9*$E$3</f>
        <v>160.57137746955067</v>
      </c>
      <c r="P9" s="140">
        <f>(10^('Constants and Assumptions'!G$7-'Constants and Assumptions'!G$9))/(1+(10^('Constants and Assumptions'!G$7-'Constants and Assumptions'!G$9)))*'Constants and Assumptions'!G$29*M9</f>
        <v>42.3078313290127</v>
      </c>
      <c r="Q9" s="140">
        <f>O9-P9</f>
        <v>118.26354614053797</v>
      </c>
      <c r="R9" s="140">
        <f>Q9*1</f>
        <v>118.26354614053797</v>
      </c>
      <c r="S9" s="140">
        <f>M9*'Constants and Assumptions'!G$32*2</f>
        <v>14.798114246791332</v>
      </c>
      <c r="T9" s="112">
        <f>((N9*('Constants and Assumptions'!L$37+'Constants and Assumptions'!N$37)*3/11)/'Constants and Assumptions'!I$37)*2</f>
        <v>36.126737768247118</v>
      </c>
      <c r="U9" s="112">
        <f>((N9*'Constants and Assumptions'!O$37*3/11)/'Constants and Assumptions'!I$37)*2</f>
        <v>184.64777081548527</v>
      </c>
      <c r="V9" s="112">
        <f>(M9*'Constants and Assumptions'!G$31)*2</f>
        <v>10.762264906757334</v>
      </c>
      <c r="W9" s="113">
        <f>(Q9*1)+M9*'Constants and Assumptions'!G$32*2</f>
        <v>133.06166038732931</v>
      </c>
      <c r="X9" s="116">
        <f>SUM(T9:V9)</f>
        <v>231.53677349048974</v>
      </c>
      <c r="Y9" s="118">
        <f>SUM(W9+X9)</f>
        <v>364.59843387781905</v>
      </c>
    </row>
    <row r="10" spans="1:25" x14ac:dyDescent="0.45">
      <c r="A10" s="75"/>
      <c r="B10" s="125" t="s">
        <v>143</v>
      </c>
      <c r="C10" s="13" t="s">
        <v>115</v>
      </c>
      <c r="D10" s="13">
        <v>0</v>
      </c>
      <c r="E10" s="13" t="s">
        <v>130</v>
      </c>
      <c r="F10" s="120" t="s">
        <v>132</v>
      </c>
      <c r="G10" s="14">
        <v>10000</v>
      </c>
      <c r="H10" s="121">
        <v>67.159981796071605</v>
      </c>
      <c r="I10" s="121">
        <v>29.261022503246199</v>
      </c>
      <c r="J10" s="121">
        <v>20</v>
      </c>
      <c r="K10" s="122">
        <v>11.4078341541236</v>
      </c>
      <c r="L10" s="114">
        <f t="shared" ref="L10:L11" si="0">K10/G10*$E$3</f>
        <v>11.407834154123602</v>
      </c>
      <c r="M10" s="139">
        <f t="shared" ref="M10:M11" si="1">(H10-J10)/G10*$E$3</f>
        <v>47.159981796071605</v>
      </c>
      <c r="N10" s="140">
        <f>((H10-I10)/'Constants and Assumptions'!G$13)/G10*$E$3</f>
        <v>41.738941952450894</v>
      </c>
      <c r="O10" s="140">
        <f>K10/'Constants and Assumptions'!G$8/G10*$E$3</f>
        <v>253.50742564719116</v>
      </c>
      <c r="P10" s="140">
        <f>(10^('Constants and Assumptions'!G$7-'Constants and Assumptions'!G$9))/(1+(10^('Constants and Assumptions'!G$7-'Constants and Assumptions'!G$9)))*'Constants and Assumptions'!G$29*M10</f>
        <v>44.943486763077104</v>
      </c>
      <c r="Q10" s="140">
        <f>O10-P10</f>
        <v>208.56393888411407</v>
      </c>
      <c r="R10" s="140">
        <f>Q10*1</f>
        <v>208.56393888411407</v>
      </c>
      <c r="S10" s="140">
        <f>M10*'Constants and Assumptions'!G$32*2</f>
        <v>15.719993932023868</v>
      </c>
      <c r="T10" s="112">
        <f>((N10*('Constants and Assumptions'!L$37+'Constants and Assumptions'!N$37)*3/11)/'Constants and Assumptions'!I$37)*2</f>
        <v>34.15004341564164</v>
      </c>
      <c r="U10" s="112">
        <f>((N10*'Constants and Assumptions'!O$37*3/11)/'Constants and Assumptions'!I$37)*2</f>
        <v>174.54466634661279</v>
      </c>
      <c r="V10" s="112">
        <f>(M10*'Constants and Assumptions'!G$31)*2</f>
        <v>11.432722859653722</v>
      </c>
      <c r="W10" s="113">
        <f>(Q10*1)+M10*'Constants and Assumptions'!G$32*2</f>
        <v>224.28393281613793</v>
      </c>
      <c r="X10" s="116">
        <f>SUM(T10:V10)</f>
        <v>220.12743262190816</v>
      </c>
      <c r="Y10" s="118">
        <f>SUM(W10+X10)</f>
        <v>444.41136543804612</v>
      </c>
    </row>
    <row r="11" spans="1:25" x14ac:dyDescent="0.45">
      <c r="A11" s="75"/>
      <c r="B11" s="125" t="s">
        <v>143</v>
      </c>
      <c r="C11" s="13" t="s">
        <v>115</v>
      </c>
      <c r="D11" s="13">
        <v>0</v>
      </c>
      <c r="E11" s="13" t="s">
        <v>130</v>
      </c>
      <c r="F11" s="120" t="s">
        <v>133</v>
      </c>
      <c r="G11" s="14">
        <v>10000</v>
      </c>
      <c r="H11" s="121">
        <v>67.732148697015603</v>
      </c>
      <c r="I11" s="121">
        <v>24.904943054355201</v>
      </c>
      <c r="J11" s="121">
        <v>20</v>
      </c>
      <c r="K11" s="122">
        <v>11.9157573381218</v>
      </c>
      <c r="L11" s="114">
        <f t="shared" si="0"/>
        <v>11.915757338121798</v>
      </c>
      <c r="M11" s="139">
        <f t="shared" si="1"/>
        <v>47.732148697015603</v>
      </c>
      <c r="N11" s="140">
        <f>((H11-I11)/'Constants and Assumptions'!G$13)/G11*$E$3</f>
        <v>47.16652603817225</v>
      </c>
      <c r="O11" s="140">
        <f>K11/'Constants and Assumptions'!G$8/G11*$E$3</f>
        <v>264.79460751381777</v>
      </c>
      <c r="P11" s="140">
        <f>(10^('Constants and Assumptions'!G$7-'Constants and Assumptions'!G$9))/(1+(10^('Constants and Assumptions'!G$7-'Constants and Assumptions'!G$9)))*'Constants and Assumptions'!G$29*M11</f>
        <v>45.488762112207738</v>
      </c>
      <c r="Q11" s="140">
        <f>O11-P11</f>
        <v>219.30584540161004</v>
      </c>
      <c r="R11" s="140">
        <f>Q11*1</f>
        <v>219.30584540161004</v>
      </c>
      <c r="S11" s="140">
        <f>M11*'Constants and Assumptions'!G$32*2</f>
        <v>15.910716232338533</v>
      </c>
      <c r="T11" s="112">
        <f>((N11*('Constants and Assumptions'!L$37+'Constants and Assumptions'!N$37)*3/11)/'Constants and Assumptions'!I$37)*2</f>
        <v>38.590794031231844</v>
      </c>
      <c r="U11" s="112">
        <f>((N11*'Constants and Assumptions'!O$37*3/11)/'Constants and Assumptions'!I$37)*2</f>
        <v>197.2418361596294</v>
      </c>
      <c r="V11" s="112">
        <f>(M11*'Constants and Assumptions'!G$31)*2</f>
        <v>11.571429987155298</v>
      </c>
      <c r="W11" s="113">
        <f>(Q11*1)+M11*'Constants and Assumptions'!G$32*2</f>
        <v>235.21656163394857</v>
      </c>
      <c r="X11" s="116">
        <f>SUM(T11:V11)</f>
        <v>247.40406017801655</v>
      </c>
      <c r="Y11" s="118">
        <f>SUM(W11+X11)</f>
        <v>482.62062181196512</v>
      </c>
    </row>
    <row r="13" spans="1:25" x14ac:dyDescent="0.45">
      <c r="H13" s="130" t="s">
        <v>148</v>
      </c>
    </row>
  </sheetData>
  <mergeCells count="9">
    <mergeCell ref="R5:S5"/>
    <mergeCell ref="T5:V5"/>
    <mergeCell ref="W5:X5"/>
    <mergeCell ref="C6:E6"/>
    <mergeCell ref="H7:J7"/>
    <mergeCell ref="K7:L7"/>
    <mergeCell ref="M7:N7"/>
    <mergeCell ref="O7:Q7"/>
    <mergeCell ref="C5:F5"/>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Constants and Assumptions</vt:lpstr>
      <vt:lpstr>Calculations (ug)</vt:lpstr>
      <vt:lpstr>Calculations (cell number)</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guntua</dc:creator>
  <cp:lastModifiedBy>Akos Gerencser</cp:lastModifiedBy>
  <cp:lastPrinted>2015-08-03T16:32:07Z</cp:lastPrinted>
  <dcterms:created xsi:type="dcterms:W3CDTF">2015-08-03T16:01:04Z</dcterms:created>
  <dcterms:modified xsi:type="dcterms:W3CDTF">2023-09-14T05:29:53Z</dcterms:modified>
</cp:coreProperties>
</file>