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Akos\0Admin\Website\"/>
    </mc:Choice>
  </mc:AlternateContent>
  <xr:revisionPtr revIDLastSave="0" documentId="13_ncr:1_{9C43660A-1E1B-4764-8C7E-8AFF31FB7521}" xr6:coauthVersionLast="36" xr6:coauthVersionMax="36" xr10:uidLastSave="{00000000-0000-0000-0000-000000000000}"/>
  <bookViews>
    <workbookView xWindow="0" yWindow="0" windowWidth="28800" windowHeight="13830" tabRatio="500" xr2:uid="{00000000-000D-0000-FFFF-FFFF00000000}"/>
  </bookViews>
  <sheets>
    <sheet name="Calculations (ug)" sheetId="1" r:id="rId1"/>
    <sheet name="Calculations (cell number)" sheetId="2" r:id="rId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2" l="1"/>
  <c r="M19" i="2" s="1"/>
  <c r="K19" i="2"/>
  <c r="P19" i="2" s="1"/>
  <c r="L19" i="2"/>
  <c r="J20" i="2"/>
  <c r="M20" i="2" s="1"/>
  <c r="K20" i="2"/>
  <c r="L20" i="2"/>
  <c r="L18" i="2"/>
  <c r="K18" i="2"/>
  <c r="J18" i="2"/>
  <c r="M18" i="2" s="1"/>
  <c r="O16" i="2"/>
  <c r="L16" i="2"/>
  <c r="J16" i="2"/>
  <c r="P20" i="2" l="1"/>
  <c r="N18" i="2"/>
  <c r="O18" i="2" s="1"/>
  <c r="P18" i="2"/>
  <c r="N19" i="2"/>
  <c r="O19" i="2" s="1"/>
  <c r="Q19" i="2" s="1"/>
  <c r="N20" i="2"/>
  <c r="O20" i="2" s="1"/>
  <c r="Q20" i="2" s="1"/>
  <c r="K18" i="1"/>
  <c r="K19" i="1"/>
  <c r="K17" i="1"/>
  <c r="Q18" i="2" l="1"/>
  <c r="P17" i="1"/>
  <c r="J17" i="1"/>
  <c r="L17" i="1"/>
  <c r="N17" i="1" s="1"/>
  <c r="O17" i="1" s="1"/>
  <c r="M17" i="1"/>
  <c r="L18" i="1"/>
  <c r="J18" i="1"/>
  <c r="M18" i="1" s="1"/>
  <c r="J19" i="1"/>
  <c r="P19" i="1" s="1"/>
  <c r="M19" i="1"/>
  <c r="L19" i="1"/>
  <c r="Q17" i="1" l="1"/>
  <c r="N19" i="1"/>
  <c r="O19" i="1" s="1"/>
  <c r="Q19" i="1" s="1"/>
  <c r="N18" i="1"/>
  <c r="O18" i="1" s="1"/>
  <c r="P18" i="1"/>
  <c r="Q18" i="1" l="1"/>
</calcChain>
</file>

<file path=xl/sharedStrings.xml><?xml version="1.0" encoding="utf-8"?>
<sst xmlns="http://schemas.openxmlformats.org/spreadsheetml/2006/main" count="115" uniqueCount="57">
  <si>
    <t>RATES OF ATP PRODUCTION FROM GLYCOLYSIS AND OXIDATIVE PHOSPHORYLATION</t>
  </si>
  <si>
    <t>CONSTANTS &amp; CONDITIONS</t>
  </si>
  <si>
    <t>cell type</t>
  </si>
  <si>
    <t>C2C12</t>
  </si>
  <si>
    <t>medium</t>
  </si>
  <si>
    <t>KRPH</t>
  </si>
  <si>
    <t>pH</t>
  </si>
  <si>
    <t>buffering power</t>
  </si>
  <si>
    <t>substrate</t>
  </si>
  <si>
    <t>glucose</t>
  </si>
  <si>
    <t>DATA</t>
  </si>
  <si>
    <t>CALCULATIONS</t>
  </si>
  <si>
    <t>identifier</t>
  </si>
  <si>
    <t xml:space="preserve">protein </t>
  </si>
  <si>
    <t>OCR</t>
  </si>
  <si>
    <t>ECAR</t>
  </si>
  <si>
    <t xml:space="preserve">OCR </t>
  </si>
  <si>
    <t xml:space="preserve">PPR </t>
  </si>
  <si>
    <t>PPR</t>
  </si>
  <si>
    <t>in well</t>
  </si>
  <si>
    <t>total</t>
  </si>
  <si>
    <t>oligo</t>
  </si>
  <si>
    <t>rot/myx</t>
  </si>
  <si>
    <t>mito</t>
  </si>
  <si>
    <t>coupled</t>
  </si>
  <si>
    <t>resp</t>
  </si>
  <si>
    <t>glyc</t>
  </si>
  <si>
    <t>(µg)</t>
  </si>
  <si>
    <t>(mpH/min)</t>
  </si>
  <si>
    <t>(pmol ATP/min/µg protein)</t>
  </si>
  <si>
    <t>C2C12 glucose</t>
  </si>
  <si>
    <r>
      <t>(pmol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/min)</t>
    </r>
  </si>
  <si>
    <r>
      <t>(pmol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/min/µg protein)</t>
    </r>
  </si>
  <si>
    <r>
      <t>(pmol 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/min/µg protein)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</si>
  <si>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-&gt; HCO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</si>
  <si>
    <r>
      <t>pK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at 37°C</t>
    </r>
  </si>
  <si>
    <r>
      <t>ATP (J</t>
    </r>
    <r>
      <rPr>
        <vertAlign val="subscript"/>
        <sz val="11"/>
        <color theme="1"/>
        <rFont val="Calibri"/>
        <family val="2"/>
        <scheme val="minor"/>
      </rPr>
      <t>ATPglyc</t>
    </r>
    <r>
      <rPr>
        <sz val="11"/>
        <color theme="1"/>
        <rFont val="Calibri"/>
        <family val="2"/>
        <scheme val="minor"/>
      </rPr>
      <t>)</t>
    </r>
  </si>
  <si>
    <t>Glycolytic</t>
  </si>
  <si>
    <t>Oxidative</t>
  </si>
  <si>
    <r>
      <t>ATP (J</t>
    </r>
    <r>
      <rPr>
        <vertAlign val="subscript"/>
        <sz val="11"/>
        <color theme="1"/>
        <rFont val="Calibri"/>
        <family val="2"/>
        <scheme val="minor"/>
      </rPr>
      <t>ATPox</t>
    </r>
    <r>
      <rPr>
        <sz val="11"/>
        <color theme="1"/>
        <rFont val="Calibri"/>
        <family val="2"/>
        <scheme val="minor"/>
      </rPr>
      <t>)</t>
    </r>
  </si>
  <si>
    <t>C2C12 basal</t>
  </si>
  <si>
    <t>C2C12 oli</t>
  </si>
  <si>
    <t>Total</t>
  </si>
  <si>
    <t>TOTAL</t>
  </si>
  <si>
    <r>
      <t>ATP (J</t>
    </r>
    <r>
      <rPr>
        <vertAlign val="subscript"/>
        <sz val="11"/>
        <color theme="1"/>
        <rFont val="Calibri"/>
        <family val="2"/>
        <scheme val="minor"/>
      </rPr>
      <t>ATPproduction</t>
    </r>
    <r>
      <rPr>
        <sz val="11"/>
        <color theme="1"/>
        <rFont val="Calibri"/>
        <family val="2"/>
        <scheme val="minor"/>
      </rPr>
      <t>)</t>
    </r>
  </si>
  <si>
    <t>LABELS in GREEN</t>
  </si>
  <si>
    <r>
      <t>ENTER MEASURED VALUES in BLUE</t>
    </r>
    <r>
      <rPr>
        <sz val="14"/>
        <rFont val="Calibri"/>
        <family val="2"/>
        <scheme val="minor"/>
      </rPr>
      <t>; fill down calculations as needed</t>
    </r>
  </si>
  <si>
    <t>Note: This simplified worksheet calculates with glucose as the sole substrate. Alternatively use the full calculation worksheet to customize substrates or other constants.</t>
  </si>
  <si>
    <t>V1.1 JBC 2018 erratum applied, notes added (9/13/2023, AAG)</t>
  </si>
  <si>
    <t>normalization factor:</t>
  </si>
  <si>
    <t>cells</t>
  </si>
  <si>
    <t># of cells</t>
  </si>
  <si>
    <t>[mock values]</t>
  </si>
  <si>
    <t>V1.1 JBC 2018 erratum applied, notes added, cell number-based calculation added (9/13/2023, AAG)</t>
  </si>
  <si>
    <r>
      <t>(mpH/pmol 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/sensor volume)</t>
    </r>
  </si>
  <si>
    <t>Cite: Mookerjee SA, Gerencser AA, Nicholls DG, Brand MD. Quantifying intracellular rates of glycolytic and oxidative ATP production and consumption using extracellular flux measurements. Journal of Biological Chemistry. 2017;292(17):7189-207. Epub 20170307. doi: 10.1074/jbc.M116.774471. PubMed PMID: 28270511; PMCID: PMC5409486.</t>
  </si>
  <si>
    <t>Note: see "Buffering_power_2023.xlsx"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</si>
</sst>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4"/>
      <name val="Calibri"/>
      <family val="2"/>
      <scheme val="minor"/>
    </font>
    <font>
      <sz val="11"/>
      <color rgb="FF3366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1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0" fontId="6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Border="1"/>
    <xf numFmtId="0" fontId="7" fillId="2" borderId="0" xfId="0" applyFont="1" applyFill="1" applyBorder="1" applyAlignment="1">
      <alignment horizontal="left"/>
    </xf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6" fillId="3" borderId="9" xfId="0" applyFont="1" applyFill="1" applyBorder="1" applyAlignment="1">
      <alignment horizontal="left"/>
    </xf>
    <xf numFmtId="0" fontId="0" fillId="3" borderId="10" xfId="0" applyFill="1" applyBorder="1"/>
    <xf numFmtId="0" fontId="0" fillId="3" borderId="11" xfId="0" applyFill="1" applyBorder="1"/>
    <xf numFmtId="0" fontId="6" fillId="3" borderId="9" xfId="0" applyFont="1" applyFill="1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0" fontId="5" fillId="0" borderId="0" xfId="0" applyFont="1"/>
    <xf numFmtId="164" fontId="7" fillId="0" borderId="0" xfId="0" applyNumberFormat="1" applyFont="1" applyFill="1" applyBorder="1" applyAlignment="1">
      <alignment horizontal="center"/>
    </xf>
    <xf numFmtId="164" fontId="7" fillId="0" borderId="5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9" fillId="0" borderId="5" xfId="0" applyNumberFormat="1" applyFont="1" applyFill="1" applyBorder="1" applyAlignment="1">
      <alignment horizontal="center"/>
    </xf>
    <xf numFmtId="164" fontId="0" fillId="0" borderId="0" xfId="0" applyNumberFormat="1"/>
    <xf numFmtId="0" fontId="6" fillId="9" borderId="11" xfId="0" applyFont="1" applyFill="1" applyBorder="1"/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wrapText="1"/>
    </xf>
    <xf numFmtId="0" fontId="0" fillId="0" borderId="0" xfId="0" applyBorder="1" applyAlignment="1">
      <alignment horizontal="center"/>
    </xf>
    <xf numFmtId="0" fontId="15" fillId="0" borderId="0" xfId="0" applyFont="1" applyAlignment="1">
      <alignment horizontal="left"/>
    </xf>
    <xf numFmtId="0" fontId="16" fillId="2" borderId="0" xfId="0" applyFont="1" applyFill="1" applyBorder="1" applyAlignment="1">
      <alignment horizontal="left"/>
    </xf>
    <xf numFmtId="0" fontId="17" fillId="2" borderId="7" xfId="0" applyFont="1" applyFill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 xr:uid="{00000000-0005-0000-0000-000005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H74"/>
  <sheetViews>
    <sheetView tabSelected="1" workbookViewId="0">
      <selection activeCell="J2" sqref="J2"/>
    </sheetView>
  </sheetViews>
  <sheetFormatPr defaultColWidth="8.796875" defaultRowHeight="14.25" x14ac:dyDescent="0.45"/>
  <cols>
    <col min="1" max="1" width="9.6640625" customWidth="1"/>
    <col min="2" max="2" width="14.46484375" style="18" customWidth="1"/>
    <col min="3" max="3" width="13.796875" customWidth="1"/>
    <col min="4" max="8" width="8.6640625" customWidth="1"/>
    <col min="9" max="9" width="2.6640625" customWidth="1"/>
    <col min="10" max="14" width="10" customWidth="1"/>
    <col min="15" max="16" width="10.6640625" customWidth="1"/>
    <col min="17" max="17" width="13.6640625" customWidth="1"/>
    <col min="18" max="18" width="4.6640625" customWidth="1"/>
    <col min="19" max="19" width="6.1328125" customWidth="1"/>
    <col min="20" max="21" width="13.796875" customWidth="1"/>
    <col min="22" max="25" width="17.796875" customWidth="1"/>
  </cols>
  <sheetData>
    <row r="1" spans="1:34" ht="29" customHeight="1" x14ac:dyDescent="0.55000000000000004">
      <c r="B1" s="1" t="s">
        <v>0</v>
      </c>
    </row>
    <row r="2" spans="1:34" ht="16.05" customHeight="1" x14ac:dyDescent="0.55000000000000004">
      <c r="B2" s="2" t="s">
        <v>46</v>
      </c>
      <c r="C2" s="3"/>
      <c r="J2" t="s">
        <v>55</v>
      </c>
    </row>
    <row r="3" spans="1:34" ht="16.05" customHeight="1" thickBot="1" x14ac:dyDescent="0.6">
      <c r="B3" s="45" t="s">
        <v>45</v>
      </c>
      <c r="C3" s="3"/>
      <c r="J3" t="s">
        <v>48</v>
      </c>
    </row>
    <row r="4" spans="1:34" x14ac:dyDescent="0.45">
      <c r="B4" s="4" t="s">
        <v>1</v>
      </c>
      <c r="C4" s="5"/>
      <c r="D4" s="5"/>
      <c r="E4" s="6"/>
      <c r="F4" s="6"/>
      <c r="G4" s="6"/>
      <c r="H4" s="7"/>
    </row>
    <row r="5" spans="1:34" x14ac:dyDescent="0.45">
      <c r="B5" s="8" t="s">
        <v>2</v>
      </c>
      <c r="C5" s="9"/>
      <c r="D5" s="10"/>
      <c r="E5" s="10"/>
      <c r="F5" s="10"/>
      <c r="G5" s="46" t="s">
        <v>3</v>
      </c>
      <c r="H5" s="12"/>
    </row>
    <row r="6" spans="1:34" x14ac:dyDescent="0.45">
      <c r="B6" s="13" t="s">
        <v>4</v>
      </c>
      <c r="C6" s="9"/>
      <c r="D6" s="10"/>
      <c r="E6" s="10"/>
      <c r="F6" s="10"/>
      <c r="G6" s="46" t="s">
        <v>5</v>
      </c>
      <c r="H6" s="12"/>
    </row>
    <row r="7" spans="1:34" x14ac:dyDescent="0.45">
      <c r="B7" s="13" t="s">
        <v>6</v>
      </c>
      <c r="C7" s="9"/>
      <c r="D7" s="10"/>
      <c r="E7" s="10"/>
      <c r="F7" s="10"/>
      <c r="G7" s="11">
        <v>7.4</v>
      </c>
      <c r="H7" s="12"/>
    </row>
    <row r="8" spans="1:34" ht="15.75" x14ac:dyDescent="0.45">
      <c r="B8" s="13" t="s">
        <v>7</v>
      </c>
      <c r="C8" s="9" t="s">
        <v>54</v>
      </c>
      <c r="D8" s="10"/>
      <c r="E8" s="10"/>
      <c r="F8" s="10"/>
      <c r="G8" s="11">
        <v>4.4999999999999998E-2</v>
      </c>
      <c r="H8" s="12"/>
      <c r="J8" t="s">
        <v>56</v>
      </c>
    </row>
    <row r="9" spans="1:34" ht="16.5" x14ac:dyDescent="0.55000000000000004">
      <c r="B9" s="8" t="s">
        <v>35</v>
      </c>
      <c r="C9" s="9" t="s">
        <v>34</v>
      </c>
      <c r="D9" s="10"/>
      <c r="E9" s="10"/>
      <c r="F9" s="10"/>
      <c r="G9" s="11">
        <v>6.093</v>
      </c>
      <c r="H9" s="12"/>
    </row>
    <row r="10" spans="1:34" ht="14.65" thickBot="1" x14ac:dyDescent="0.5">
      <c r="B10" s="14" t="s">
        <v>8</v>
      </c>
      <c r="C10" s="15"/>
      <c r="D10" s="16"/>
      <c r="E10" s="16"/>
      <c r="F10" s="16"/>
      <c r="G10" s="47" t="s">
        <v>9</v>
      </c>
      <c r="H10" s="17"/>
      <c r="J10" t="s">
        <v>47</v>
      </c>
    </row>
    <row r="11" spans="1:34" ht="14.65" thickBot="1" x14ac:dyDescent="0.5">
      <c r="C11" s="19"/>
      <c r="D11" s="19"/>
      <c r="R11" s="18"/>
    </row>
    <row r="12" spans="1:34" x14ac:dyDescent="0.45">
      <c r="B12" s="20" t="s">
        <v>10</v>
      </c>
      <c r="C12" s="21"/>
      <c r="D12" s="21"/>
      <c r="E12" s="21"/>
      <c r="F12" s="21"/>
      <c r="G12" s="21"/>
      <c r="H12" s="22"/>
      <c r="J12" s="23" t="s">
        <v>11</v>
      </c>
      <c r="K12" s="21"/>
      <c r="L12" s="21"/>
      <c r="M12" s="21"/>
      <c r="N12" s="21"/>
      <c r="O12" s="21"/>
      <c r="P12" s="22"/>
      <c r="Q12" s="40" t="s">
        <v>43</v>
      </c>
      <c r="R12" s="18"/>
      <c r="AE12" s="24"/>
      <c r="AF12" s="24"/>
      <c r="AG12" s="24"/>
      <c r="AH12" s="24"/>
    </row>
    <row r="13" spans="1:34" x14ac:dyDescent="0.45">
      <c r="B13" s="25"/>
      <c r="C13" s="41" t="s">
        <v>12</v>
      </c>
      <c r="D13" s="41" t="s">
        <v>13</v>
      </c>
      <c r="E13" s="41" t="s">
        <v>14</v>
      </c>
      <c r="F13" s="41" t="s">
        <v>14</v>
      </c>
      <c r="G13" s="41" t="s">
        <v>14</v>
      </c>
      <c r="H13" s="27" t="s">
        <v>15</v>
      </c>
      <c r="J13" s="25" t="s">
        <v>16</v>
      </c>
      <c r="K13" s="26" t="s">
        <v>16</v>
      </c>
      <c r="L13" s="26" t="s">
        <v>17</v>
      </c>
      <c r="M13" s="26" t="s">
        <v>18</v>
      </c>
      <c r="N13" s="26" t="s">
        <v>17</v>
      </c>
      <c r="O13" s="36" t="s">
        <v>37</v>
      </c>
      <c r="P13" s="37" t="s">
        <v>38</v>
      </c>
      <c r="Q13" s="37" t="s">
        <v>42</v>
      </c>
      <c r="R13" s="18"/>
      <c r="AE13" s="24"/>
      <c r="AF13" s="24"/>
      <c r="AG13" s="24"/>
      <c r="AH13" s="24"/>
    </row>
    <row r="14" spans="1:34" ht="15.75" x14ac:dyDescent="0.55000000000000004">
      <c r="B14" s="25"/>
      <c r="C14" s="41"/>
      <c r="D14" s="41" t="s">
        <v>19</v>
      </c>
      <c r="E14" s="41" t="s">
        <v>20</v>
      </c>
      <c r="F14" s="41" t="s">
        <v>21</v>
      </c>
      <c r="G14" s="41" t="s">
        <v>22</v>
      </c>
      <c r="H14" s="27" t="s">
        <v>20</v>
      </c>
      <c r="J14" s="25" t="s">
        <v>23</v>
      </c>
      <c r="K14" s="26" t="s">
        <v>24</v>
      </c>
      <c r="L14" s="26" t="s">
        <v>20</v>
      </c>
      <c r="M14" s="26" t="s">
        <v>25</v>
      </c>
      <c r="N14" s="26" t="s">
        <v>26</v>
      </c>
      <c r="O14" s="36" t="s">
        <v>36</v>
      </c>
      <c r="P14" s="37" t="s">
        <v>39</v>
      </c>
      <c r="Q14" s="37" t="s">
        <v>44</v>
      </c>
      <c r="R14" s="18"/>
      <c r="AE14" s="24"/>
      <c r="AF14" s="24"/>
      <c r="AG14" s="24"/>
      <c r="AH14" s="24"/>
    </row>
    <row r="15" spans="1:34" ht="16.5" x14ac:dyDescent="0.55000000000000004">
      <c r="B15" s="25"/>
      <c r="C15" s="41"/>
      <c r="D15" s="41" t="s">
        <v>27</v>
      </c>
      <c r="E15" s="49" t="s">
        <v>31</v>
      </c>
      <c r="F15" s="49"/>
      <c r="G15" s="49"/>
      <c r="H15" s="28" t="s">
        <v>28</v>
      </c>
      <c r="J15" s="50" t="s">
        <v>32</v>
      </c>
      <c r="K15" s="51"/>
      <c r="L15" s="52" t="s">
        <v>33</v>
      </c>
      <c r="M15" s="51"/>
      <c r="N15" s="51"/>
      <c r="O15" s="53" t="s">
        <v>29</v>
      </c>
      <c r="P15" s="53"/>
      <c r="Q15" s="54"/>
      <c r="R15" s="18"/>
      <c r="AE15" s="24"/>
      <c r="AF15" s="24"/>
      <c r="AG15" s="24"/>
      <c r="AH15" s="24"/>
    </row>
    <row r="16" spans="1:34" x14ac:dyDescent="0.45">
      <c r="A16" s="24"/>
      <c r="B16" s="42"/>
      <c r="C16" s="41"/>
      <c r="D16" s="41"/>
      <c r="E16" s="41"/>
      <c r="F16" s="41"/>
      <c r="G16" s="41"/>
      <c r="H16" s="27"/>
      <c r="J16" s="25"/>
      <c r="K16" s="26"/>
      <c r="L16" s="26"/>
      <c r="M16" s="26"/>
      <c r="N16" s="26"/>
      <c r="O16" s="29"/>
      <c r="P16" s="30"/>
      <c r="Q16" s="30"/>
      <c r="R16" s="18"/>
      <c r="AE16" s="24"/>
      <c r="AF16" s="24"/>
      <c r="AG16" s="24"/>
      <c r="AH16" s="24"/>
    </row>
    <row r="17" spans="1:34" x14ac:dyDescent="0.45">
      <c r="A17" s="24"/>
      <c r="B17" s="42"/>
      <c r="C17" s="48" t="s">
        <v>40</v>
      </c>
      <c r="D17" s="34">
        <v>15</v>
      </c>
      <c r="E17" s="34">
        <v>182</v>
      </c>
      <c r="F17" s="34">
        <v>62</v>
      </c>
      <c r="G17" s="34">
        <v>42</v>
      </c>
      <c r="H17" s="35">
        <v>5.2</v>
      </c>
      <c r="J17" s="31">
        <f>(E17-G17)/D17</f>
        <v>9.3333333333333339</v>
      </c>
      <c r="K17" s="32">
        <f>((E17-F17)/0.908)/D17</f>
        <v>8.8105726872246688</v>
      </c>
      <c r="L17" s="32">
        <f>H17/G$8/D17</f>
        <v>7.7037037037037042</v>
      </c>
      <c r="M17" s="32">
        <f>(10^(G$7-G$9))/(1+(10^(G$7-G$9)))*1*J17</f>
        <v>8.8946714385075261</v>
      </c>
      <c r="N17" s="32">
        <f>L17-M17</f>
        <v>-1.1909677348038219</v>
      </c>
      <c r="O17" s="32">
        <f>(N17*1)+J17*0.242*2</f>
        <v>3.3263655985295113</v>
      </c>
      <c r="P17" s="38">
        <f>(K17*2.486+J17*0.121)*2</f>
        <v>46.064834067547721</v>
      </c>
      <c r="Q17" s="38">
        <f>SUM(O17:P17)</f>
        <v>49.391199666077235</v>
      </c>
      <c r="R17" s="18"/>
      <c r="S17" s="39"/>
      <c r="AE17" s="24"/>
      <c r="AF17" s="24"/>
      <c r="AG17" s="24"/>
      <c r="AH17" s="24"/>
    </row>
    <row r="18" spans="1:34" x14ac:dyDescent="0.45">
      <c r="B18" s="42"/>
      <c r="C18" s="48" t="s">
        <v>30</v>
      </c>
      <c r="D18" s="34">
        <v>15</v>
      </c>
      <c r="E18" s="34">
        <v>158</v>
      </c>
      <c r="F18" s="34">
        <v>62</v>
      </c>
      <c r="G18" s="34">
        <v>42</v>
      </c>
      <c r="H18" s="35">
        <v>19.7</v>
      </c>
      <c r="J18" s="31">
        <f>(E18-G18)/D18</f>
        <v>7.7333333333333334</v>
      </c>
      <c r="K18" s="32">
        <f t="shared" ref="K18:K19" si="0">((E18-F18)/0.908)/D18</f>
        <v>7.0484581497797354</v>
      </c>
      <c r="L18" s="32">
        <f>H18/G$8/D18</f>
        <v>29.185185185185183</v>
      </c>
      <c r="M18" s="32">
        <f t="shared" ref="M18" si="1">(10^(G$7-G$9))/(1+(10^(G$7-G$9)))*1*J18</f>
        <v>7.3698706204776645</v>
      </c>
      <c r="N18" s="32">
        <f>L18-M18</f>
        <v>21.815314564707521</v>
      </c>
      <c r="O18" s="32">
        <f t="shared" ref="O18" si="2">(N18*1)+J18*0.167*2</f>
        <v>24.398247898040854</v>
      </c>
      <c r="P18" s="38">
        <f>(K18*2.486+J18*0.121)*2</f>
        <v>36.916400587371513</v>
      </c>
      <c r="Q18" s="38">
        <f t="shared" ref="Q18:Q19" si="3">SUM(O18:P18)</f>
        <v>61.314648485412363</v>
      </c>
    </row>
    <row r="19" spans="1:34" x14ac:dyDescent="0.45">
      <c r="B19" s="42"/>
      <c r="C19" s="48" t="s">
        <v>41</v>
      </c>
      <c r="D19" s="34">
        <v>15</v>
      </c>
      <c r="E19" s="34">
        <v>62</v>
      </c>
      <c r="F19" s="34">
        <v>62</v>
      </c>
      <c r="G19" s="34">
        <v>42</v>
      </c>
      <c r="H19" s="35">
        <v>34.200000000000003</v>
      </c>
      <c r="J19" s="31">
        <f>(E19-G19)/D19</f>
        <v>1.3333333333333333</v>
      </c>
      <c r="K19" s="32">
        <f t="shared" si="0"/>
        <v>0</v>
      </c>
      <c r="L19" s="32">
        <f t="shared" ref="L19" si="4">H19/G$8/D19</f>
        <v>50.666666666666671</v>
      </c>
      <c r="M19" s="32">
        <f t="shared" ref="M19" si="5">(10^(G$7-G$9))/(1+(10^(G$7-G$9)))*1*J19</f>
        <v>1.2706673483582178</v>
      </c>
      <c r="N19" s="32">
        <f>L19-M19</f>
        <v>49.395999318308455</v>
      </c>
      <c r="O19" s="32">
        <f t="shared" ref="O19" si="6">(N19*1)+J19*0.167*2</f>
        <v>49.841332651641785</v>
      </c>
      <c r="P19" s="38">
        <f>(K19*2.486+J19*0.121)*2</f>
        <v>0.32266666666666666</v>
      </c>
      <c r="Q19" s="38">
        <f t="shared" si="3"/>
        <v>50.163999318308456</v>
      </c>
    </row>
    <row r="20" spans="1:34" x14ac:dyDescent="0.45">
      <c r="B20" s="24"/>
      <c r="C20" s="24"/>
      <c r="D20" s="24"/>
      <c r="E20" s="24"/>
      <c r="F20" s="24"/>
      <c r="G20" s="24"/>
      <c r="H20" s="24"/>
    </row>
    <row r="21" spans="1:34" x14ac:dyDescent="0.45">
      <c r="B21"/>
    </row>
    <row r="22" spans="1:34" x14ac:dyDescent="0.45">
      <c r="B22"/>
    </row>
    <row r="23" spans="1:34" x14ac:dyDescent="0.45">
      <c r="B23"/>
    </row>
    <row r="24" spans="1:34" x14ac:dyDescent="0.45">
      <c r="B24"/>
    </row>
    <row r="25" spans="1:34" x14ac:dyDescent="0.45">
      <c r="B25"/>
    </row>
    <row r="26" spans="1:34" s="43" customFormat="1" ht="41" customHeight="1" x14ac:dyDescent="0.4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34" x14ac:dyDescent="0.45">
      <c r="B27"/>
    </row>
    <row r="28" spans="1:34" x14ac:dyDescent="0.45">
      <c r="B28"/>
    </row>
    <row r="29" spans="1:34" x14ac:dyDescent="0.45">
      <c r="B29"/>
    </row>
    <row r="30" spans="1:34" x14ac:dyDescent="0.45">
      <c r="B30"/>
    </row>
    <row r="31" spans="1:34" x14ac:dyDescent="0.45">
      <c r="B31"/>
    </row>
    <row r="32" spans="1:34" x14ac:dyDescent="0.45">
      <c r="B32"/>
    </row>
    <row r="33" spans="2:34" x14ac:dyDescent="0.45">
      <c r="B33"/>
    </row>
    <row r="34" spans="2:34" x14ac:dyDescent="0.45">
      <c r="B34"/>
      <c r="AE34" s="24"/>
      <c r="AF34" s="24"/>
      <c r="AG34" s="24"/>
      <c r="AH34" s="24"/>
    </row>
    <row r="35" spans="2:34" x14ac:dyDescent="0.45">
      <c r="AE35" s="24"/>
      <c r="AF35" s="24"/>
      <c r="AG35" s="24"/>
      <c r="AH35" s="24"/>
    </row>
    <row r="36" spans="2:34" x14ac:dyDescent="0.45">
      <c r="AE36" s="24"/>
      <c r="AF36" s="24"/>
      <c r="AG36" s="24"/>
      <c r="AH36" s="24"/>
    </row>
    <row r="37" spans="2:34" x14ac:dyDescent="0.45">
      <c r="AE37" s="24"/>
      <c r="AF37" s="24"/>
      <c r="AG37" s="24"/>
      <c r="AH37" s="24"/>
    </row>
    <row r="38" spans="2:34" x14ac:dyDescent="0.45">
      <c r="AE38" s="24"/>
      <c r="AF38" s="24"/>
      <c r="AG38" s="24"/>
      <c r="AH38" s="24"/>
    </row>
    <row r="39" spans="2:34" x14ac:dyDescent="0.45">
      <c r="AE39" s="24"/>
      <c r="AF39" s="24"/>
      <c r="AG39" s="24"/>
      <c r="AH39" s="24"/>
    </row>
    <row r="40" spans="2:34" x14ac:dyDescent="0.45">
      <c r="AE40" s="24"/>
      <c r="AF40" s="24"/>
      <c r="AG40" s="24"/>
      <c r="AH40" s="24"/>
    </row>
    <row r="41" spans="2:34" x14ac:dyDescent="0.45">
      <c r="AE41" s="24"/>
      <c r="AF41" s="24"/>
      <c r="AG41" s="24"/>
      <c r="AH41" s="24"/>
    </row>
    <row r="42" spans="2:34" x14ac:dyDescent="0.45">
      <c r="AE42" s="24"/>
      <c r="AF42" s="24"/>
      <c r="AG42" s="24"/>
      <c r="AH42" s="24"/>
    </row>
    <row r="43" spans="2:34" x14ac:dyDescent="0.45">
      <c r="AE43" s="24"/>
      <c r="AF43" s="24"/>
      <c r="AG43" s="24"/>
      <c r="AH43" s="24"/>
    </row>
    <row r="44" spans="2:34" x14ac:dyDescent="0.45">
      <c r="AE44" s="24"/>
      <c r="AF44" s="24"/>
      <c r="AG44" s="24"/>
      <c r="AH44" s="24"/>
    </row>
    <row r="45" spans="2:34" x14ac:dyDescent="0.45">
      <c r="AE45" s="24"/>
      <c r="AF45" s="24"/>
      <c r="AG45" s="24"/>
      <c r="AH45" s="24"/>
    </row>
    <row r="46" spans="2:34" x14ac:dyDescent="0.45">
      <c r="AE46" s="24"/>
      <c r="AF46" s="24"/>
      <c r="AG46" s="24"/>
      <c r="AH46" s="24"/>
    </row>
    <row r="47" spans="2:34" x14ac:dyDescent="0.45">
      <c r="AE47" s="24"/>
      <c r="AF47" s="24"/>
      <c r="AG47" s="24"/>
      <c r="AH47" s="24"/>
    </row>
    <row r="48" spans="2:34" x14ac:dyDescent="0.45">
      <c r="AE48" s="24"/>
      <c r="AF48" s="24"/>
      <c r="AG48" s="24"/>
      <c r="AH48" s="24"/>
    </row>
    <row r="49" spans="31:34" x14ac:dyDescent="0.45">
      <c r="AE49" s="24"/>
      <c r="AF49" s="24"/>
      <c r="AG49" s="24"/>
      <c r="AH49" s="24"/>
    </row>
    <row r="50" spans="31:34" x14ac:dyDescent="0.45">
      <c r="AE50" s="24"/>
      <c r="AF50" s="24"/>
      <c r="AG50" s="24"/>
      <c r="AH50" s="24"/>
    </row>
    <row r="51" spans="31:34" x14ac:dyDescent="0.45">
      <c r="AE51" s="24"/>
      <c r="AF51" s="24"/>
      <c r="AG51" s="24"/>
      <c r="AH51" s="24"/>
    </row>
    <row r="52" spans="31:34" x14ac:dyDescent="0.45">
      <c r="AE52" s="24"/>
      <c r="AF52" s="24"/>
      <c r="AG52" s="24"/>
      <c r="AH52" s="24"/>
    </row>
    <row r="53" spans="31:34" x14ac:dyDescent="0.45">
      <c r="AE53" s="24"/>
      <c r="AF53" s="24"/>
      <c r="AG53" s="24"/>
      <c r="AH53" s="24"/>
    </row>
    <row r="54" spans="31:34" x14ac:dyDescent="0.45">
      <c r="AE54" s="24"/>
      <c r="AF54" s="24"/>
      <c r="AG54" s="24"/>
      <c r="AH54" s="24"/>
    </row>
    <row r="55" spans="31:34" x14ac:dyDescent="0.45">
      <c r="AE55" s="24"/>
      <c r="AF55" s="24"/>
      <c r="AG55" s="24"/>
      <c r="AH55" s="24"/>
    </row>
    <row r="56" spans="31:34" x14ac:dyDescent="0.45">
      <c r="AE56" s="24"/>
      <c r="AF56" s="24"/>
      <c r="AG56" s="24"/>
      <c r="AH56" s="24"/>
    </row>
    <row r="57" spans="31:34" x14ac:dyDescent="0.45">
      <c r="AE57" s="24"/>
      <c r="AF57" s="24"/>
      <c r="AG57" s="24"/>
      <c r="AH57" s="24"/>
    </row>
    <row r="58" spans="31:34" x14ac:dyDescent="0.45">
      <c r="AE58" s="24"/>
      <c r="AF58" s="24"/>
      <c r="AG58" s="24"/>
      <c r="AH58" s="24"/>
    </row>
    <row r="59" spans="31:34" x14ac:dyDescent="0.45">
      <c r="AE59" s="24"/>
      <c r="AF59" s="24"/>
      <c r="AG59" s="24"/>
      <c r="AH59" s="24"/>
    </row>
    <row r="60" spans="31:34" x14ac:dyDescent="0.45">
      <c r="AE60" s="24"/>
      <c r="AF60" s="24"/>
      <c r="AG60" s="24"/>
      <c r="AH60" s="24"/>
    </row>
    <row r="61" spans="31:34" x14ac:dyDescent="0.45">
      <c r="AE61" s="24"/>
      <c r="AF61" s="24"/>
      <c r="AG61" s="24"/>
      <c r="AH61" s="24"/>
    </row>
    <row r="62" spans="31:34" x14ac:dyDescent="0.45">
      <c r="AE62" s="24"/>
      <c r="AF62" s="24"/>
      <c r="AG62" s="24"/>
      <c r="AH62" s="24"/>
    </row>
    <row r="63" spans="31:34" x14ac:dyDescent="0.45">
      <c r="AE63" s="24"/>
      <c r="AF63" s="24"/>
      <c r="AG63" s="24"/>
      <c r="AH63" s="24"/>
    </row>
    <row r="64" spans="31:34" x14ac:dyDescent="0.45">
      <c r="AE64" s="24"/>
      <c r="AF64" s="24"/>
      <c r="AG64" s="24"/>
      <c r="AH64" s="24"/>
    </row>
    <row r="65" spans="2:34" x14ac:dyDescent="0.45">
      <c r="AE65" s="24"/>
      <c r="AF65" s="24"/>
      <c r="AG65" s="24"/>
      <c r="AH65" s="24"/>
    </row>
    <row r="66" spans="2:34" x14ac:dyDescent="0.45">
      <c r="AE66" s="24"/>
      <c r="AF66" s="24"/>
      <c r="AG66" s="24"/>
      <c r="AH66" s="24"/>
    </row>
    <row r="67" spans="2:34" x14ac:dyDescent="0.45">
      <c r="AE67" s="24"/>
      <c r="AF67" s="24"/>
      <c r="AG67" s="24"/>
      <c r="AH67" s="24"/>
    </row>
    <row r="68" spans="2:34" x14ac:dyDescent="0.45">
      <c r="AE68" s="24"/>
      <c r="AF68" s="24"/>
      <c r="AG68" s="24"/>
      <c r="AH68" s="24"/>
    </row>
    <row r="69" spans="2:34" x14ac:dyDescent="0.45">
      <c r="AE69" s="24"/>
      <c r="AF69" s="24"/>
      <c r="AG69" s="24"/>
      <c r="AH69" s="24"/>
    </row>
    <row r="70" spans="2:34" x14ac:dyDescent="0.45">
      <c r="B70"/>
      <c r="AE70" s="24"/>
      <c r="AF70" s="24"/>
      <c r="AG70" s="24"/>
      <c r="AH70" s="24"/>
    </row>
    <row r="71" spans="2:34" x14ac:dyDescent="0.45">
      <c r="B71"/>
      <c r="AE71" s="24"/>
      <c r="AF71" s="24"/>
      <c r="AG71" s="24"/>
      <c r="AH71" s="24"/>
    </row>
    <row r="72" spans="2:34" x14ac:dyDescent="0.45">
      <c r="B72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AE72" s="24"/>
      <c r="AF72" s="24"/>
      <c r="AG72" s="24"/>
      <c r="AH72" s="24"/>
    </row>
    <row r="73" spans="2:34" x14ac:dyDescent="0.45">
      <c r="B73"/>
      <c r="AE73" s="24"/>
      <c r="AF73" s="24"/>
      <c r="AG73" s="24"/>
      <c r="AH73" s="24"/>
    </row>
    <row r="74" spans="2:34" x14ac:dyDescent="0.45">
      <c r="B74"/>
    </row>
  </sheetData>
  <mergeCells count="4">
    <mergeCell ref="E15:G15"/>
    <mergeCell ref="J15:K15"/>
    <mergeCell ref="L15:N15"/>
    <mergeCell ref="O15:Q15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3A33-7BFA-441D-9B9F-A18EABF948ED}">
  <sheetPr>
    <tabColor rgb="FFFF0000"/>
  </sheetPr>
  <dimension ref="A1:AH75"/>
  <sheetViews>
    <sheetView zoomScaleNormal="100" workbookViewId="0">
      <selection activeCell="J9" sqref="J9"/>
    </sheetView>
  </sheetViews>
  <sheetFormatPr defaultColWidth="8.796875" defaultRowHeight="14.25" x14ac:dyDescent="0.45"/>
  <cols>
    <col min="1" max="1" width="9.6640625" customWidth="1"/>
    <col min="2" max="2" width="14.46484375" style="18" customWidth="1"/>
    <col min="3" max="3" width="13.796875" customWidth="1"/>
    <col min="4" max="8" width="8.6640625" customWidth="1"/>
    <col min="9" max="9" width="2.6640625" customWidth="1"/>
    <col min="10" max="14" width="10" customWidth="1"/>
    <col min="15" max="16" width="10.6640625" customWidth="1"/>
    <col min="17" max="17" width="13.6640625" customWidth="1"/>
    <col min="18" max="18" width="4.6640625" customWidth="1"/>
    <col min="19" max="19" width="6.1328125" customWidth="1"/>
    <col min="20" max="21" width="13.796875" customWidth="1"/>
    <col min="22" max="25" width="17.796875" customWidth="1"/>
  </cols>
  <sheetData>
    <row r="1" spans="2:34" ht="29" customHeight="1" x14ac:dyDescent="0.55000000000000004">
      <c r="B1" s="1" t="s">
        <v>0</v>
      </c>
    </row>
    <row r="2" spans="2:34" ht="16.05" customHeight="1" x14ac:dyDescent="0.55000000000000004">
      <c r="B2" s="2" t="s">
        <v>46</v>
      </c>
      <c r="C2" s="3"/>
      <c r="J2" t="s">
        <v>55</v>
      </c>
    </row>
    <row r="3" spans="2:34" ht="16.05" customHeight="1" thickBot="1" x14ac:dyDescent="0.6">
      <c r="B3" s="45" t="s">
        <v>45</v>
      </c>
      <c r="C3" s="3"/>
      <c r="J3" t="s">
        <v>53</v>
      </c>
    </row>
    <row r="4" spans="2:34" x14ac:dyDescent="0.45">
      <c r="B4" s="4" t="s">
        <v>1</v>
      </c>
      <c r="C4" s="5"/>
      <c r="D4" s="5"/>
      <c r="E4" s="6"/>
      <c r="F4" s="6"/>
      <c r="G4" s="6"/>
      <c r="H4" s="7"/>
    </row>
    <row r="5" spans="2:34" x14ac:dyDescent="0.45">
      <c r="B5" s="8" t="s">
        <v>2</v>
      </c>
      <c r="C5" s="9"/>
      <c r="D5" s="10"/>
      <c r="E5" s="10"/>
      <c r="F5" s="10"/>
      <c r="G5" s="46" t="s">
        <v>3</v>
      </c>
      <c r="H5" s="12"/>
    </row>
    <row r="6" spans="2:34" x14ac:dyDescent="0.45">
      <c r="B6" s="8" t="s">
        <v>49</v>
      </c>
      <c r="C6" s="9"/>
      <c r="D6" s="10"/>
      <c r="E6" s="10"/>
      <c r="F6" s="10"/>
      <c r="G6" s="11">
        <v>10000</v>
      </c>
      <c r="H6" s="12" t="s">
        <v>50</v>
      </c>
    </row>
    <row r="7" spans="2:34" x14ac:dyDescent="0.45">
      <c r="B7" s="13" t="s">
        <v>4</v>
      </c>
      <c r="C7" s="9"/>
      <c r="D7" s="10"/>
      <c r="E7" s="10"/>
      <c r="F7" s="10"/>
      <c r="G7" s="46" t="s">
        <v>5</v>
      </c>
      <c r="H7" s="12"/>
    </row>
    <row r="8" spans="2:34" x14ac:dyDescent="0.45">
      <c r="B8" s="13" t="s">
        <v>6</v>
      </c>
      <c r="C8" s="9"/>
      <c r="D8" s="10"/>
      <c r="E8" s="10"/>
      <c r="F8" s="10"/>
      <c r="G8" s="11">
        <v>7.4</v>
      </c>
      <c r="H8" s="12"/>
    </row>
    <row r="9" spans="2:34" ht="15.75" x14ac:dyDescent="0.45">
      <c r="B9" s="13" t="s">
        <v>7</v>
      </c>
      <c r="C9" s="9" t="s">
        <v>54</v>
      </c>
      <c r="D9" s="10"/>
      <c r="E9" s="10"/>
      <c r="F9" s="10"/>
      <c r="G9" s="11">
        <v>4.4999999999999998E-2</v>
      </c>
      <c r="H9" s="12"/>
      <c r="J9" t="s">
        <v>56</v>
      </c>
    </row>
    <row r="10" spans="2:34" ht="16.5" x14ac:dyDescent="0.55000000000000004">
      <c r="B10" s="8" t="s">
        <v>35</v>
      </c>
      <c r="C10" s="9" t="s">
        <v>34</v>
      </c>
      <c r="D10" s="10"/>
      <c r="E10" s="10"/>
      <c r="F10" s="10"/>
      <c r="G10" s="11">
        <v>6.093</v>
      </c>
      <c r="H10" s="12"/>
    </row>
    <row r="11" spans="2:34" ht="14.65" thickBot="1" x14ac:dyDescent="0.5">
      <c r="B11" s="14" t="s">
        <v>8</v>
      </c>
      <c r="C11" s="15"/>
      <c r="D11" s="16"/>
      <c r="E11" s="16"/>
      <c r="F11" s="16"/>
      <c r="G11" s="47" t="s">
        <v>9</v>
      </c>
      <c r="H11" s="17"/>
      <c r="J11" t="s">
        <v>47</v>
      </c>
    </row>
    <row r="12" spans="2:34" ht="14.65" thickBot="1" x14ac:dyDescent="0.5">
      <c r="C12" s="19"/>
      <c r="D12" s="19"/>
      <c r="R12" s="18"/>
    </row>
    <row r="13" spans="2:34" x14ac:dyDescent="0.45">
      <c r="B13" s="20" t="s">
        <v>10</v>
      </c>
      <c r="C13" s="21"/>
      <c r="D13" s="21"/>
      <c r="E13" s="21"/>
      <c r="F13" s="21"/>
      <c r="G13" s="21"/>
      <c r="H13" s="22"/>
      <c r="J13" s="23" t="s">
        <v>11</v>
      </c>
      <c r="K13" s="21"/>
      <c r="L13" s="21"/>
      <c r="M13" s="21"/>
      <c r="N13" s="21"/>
      <c r="O13" s="21"/>
      <c r="P13" s="22"/>
      <c r="Q13" s="40" t="s">
        <v>43</v>
      </c>
      <c r="R13" s="18"/>
      <c r="AE13" s="24"/>
      <c r="AF13" s="24"/>
      <c r="AG13" s="24"/>
      <c r="AH13" s="24"/>
    </row>
    <row r="14" spans="2:34" x14ac:dyDescent="0.45">
      <c r="B14" s="25"/>
      <c r="C14" s="44" t="s">
        <v>12</v>
      </c>
      <c r="D14" s="44" t="s">
        <v>51</v>
      </c>
      <c r="E14" s="44" t="s">
        <v>14</v>
      </c>
      <c r="F14" s="44" t="s">
        <v>14</v>
      </c>
      <c r="G14" s="44" t="s">
        <v>14</v>
      </c>
      <c r="H14" s="27" t="s">
        <v>15</v>
      </c>
      <c r="J14" s="25" t="s">
        <v>16</v>
      </c>
      <c r="K14" s="44" t="s">
        <v>16</v>
      </c>
      <c r="L14" s="44" t="s">
        <v>17</v>
      </c>
      <c r="M14" s="44" t="s">
        <v>18</v>
      </c>
      <c r="N14" s="44" t="s">
        <v>17</v>
      </c>
      <c r="O14" s="36" t="s">
        <v>37</v>
      </c>
      <c r="P14" s="37" t="s">
        <v>38</v>
      </c>
      <c r="Q14" s="37" t="s">
        <v>42</v>
      </c>
      <c r="R14" s="18"/>
      <c r="AE14" s="24"/>
      <c r="AF14" s="24"/>
      <c r="AG14" s="24"/>
      <c r="AH14" s="24"/>
    </row>
    <row r="15" spans="2:34" ht="15.75" x14ac:dyDescent="0.55000000000000004">
      <c r="B15" s="25"/>
      <c r="C15" s="44"/>
      <c r="D15" s="44" t="s">
        <v>19</v>
      </c>
      <c r="E15" s="44" t="s">
        <v>20</v>
      </c>
      <c r="F15" s="44" t="s">
        <v>21</v>
      </c>
      <c r="G15" s="44" t="s">
        <v>22</v>
      </c>
      <c r="H15" s="27" t="s">
        <v>20</v>
      </c>
      <c r="J15" s="25" t="s">
        <v>23</v>
      </c>
      <c r="K15" s="44" t="s">
        <v>24</v>
      </c>
      <c r="L15" s="44" t="s">
        <v>20</v>
      </c>
      <c r="M15" s="44" t="s">
        <v>25</v>
      </c>
      <c r="N15" s="44" t="s">
        <v>26</v>
      </c>
      <c r="O15" s="36" t="s">
        <v>36</v>
      </c>
      <c r="P15" s="37" t="s">
        <v>39</v>
      </c>
      <c r="Q15" s="37" t="s">
        <v>44</v>
      </c>
      <c r="R15" s="18"/>
      <c r="AE15" s="24"/>
      <c r="AF15" s="24"/>
      <c r="AG15" s="24"/>
      <c r="AH15" s="24"/>
    </row>
    <row r="16" spans="2:34" ht="16.5" x14ac:dyDescent="0.55000000000000004">
      <c r="B16" s="25"/>
      <c r="C16" s="44"/>
      <c r="D16" s="44"/>
      <c r="E16" s="49" t="s">
        <v>31</v>
      </c>
      <c r="F16" s="49"/>
      <c r="G16" s="49"/>
      <c r="H16" s="28" t="s">
        <v>28</v>
      </c>
      <c r="J16" s="50" t="str">
        <f>"(pmol O2/min/"&amp;$G$6&amp;" cells)"</f>
        <v>(pmol O2/min/10000 cells)</v>
      </c>
      <c r="K16" s="51"/>
      <c r="L16" s="52" t="str">
        <f>"(pmol H+/min/"&amp;$G$6&amp;" cells)"</f>
        <v>(pmol H+/min/10000 cells)</v>
      </c>
      <c r="M16" s="51"/>
      <c r="N16" s="51"/>
      <c r="O16" s="53" t="str">
        <f>"(pmol ATP/min/"&amp;$G$6&amp;" cells)"</f>
        <v>(pmol ATP/min/10000 cells)</v>
      </c>
      <c r="P16" s="53"/>
      <c r="Q16" s="54"/>
      <c r="R16" s="18"/>
      <c r="AE16" s="24"/>
      <c r="AF16" s="24"/>
      <c r="AG16" s="24"/>
      <c r="AH16" s="24"/>
    </row>
    <row r="17" spans="1:34" x14ac:dyDescent="0.45">
      <c r="A17" s="24"/>
      <c r="B17" s="42"/>
      <c r="C17" s="44"/>
      <c r="D17" s="44"/>
      <c r="E17" s="44"/>
      <c r="F17" s="44"/>
      <c r="G17" s="44"/>
      <c r="H17" s="27"/>
      <c r="J17" s="25"/>
      <c r="K17" s="44"/>
      <c r="L17" s="44"/>
      <c r="M17" s="44"/>
      <c r="N17" s="44"/>
      <c r="O17" s="29"/>
      <c r="P17" s="30"/>
      <c r="Q17" s="30"/>
      <c r="R17" s="18"/>
      <c r="AE17" s="24"/>
      <c r="AF17" s="24"/>
      <c r="AG17" s="24"/>
      <c r="AH17" s="24"/>
    </row>
    <row r="18" spans="1:34" x14ac:dyDescent="0.45">
      <c r="A18" s="24"/>
      <c r="B18" s="42"/>
      <c r="C18" s="48" t="s">
        <v>40</v>
      </c>
      <c r="D18" s="34">
        <v>10000</v>
      </c>
      <c r="E18" s="34">
        <v>12.133333333333333</v>
      </c>
      <c r="F18" s="34">
        <v>4.1333333333333337</v>
      </c>
      <c r="G18" s="34">
        <v>2.8</v>
      </c>
      <c r="H18" s="35">
        <v>0.34666666666666668</v>
      </c>
      <c r="J18" s="31">
        <f>(E18-G18)/D18*$G$6</f>
        <v>9.3333333333333321</v>
      </c>
      <c r="K18" s="32">
        <f>((E18-F18)/0.908)/D18*$G$6</f>
        <v>8.8105726872246688</v>
      </c>
      <c r="L18" s="32">
        <f>H18/G$9/D18*$G$6</f>
        <v>7.7037037037037033</v>
      </c>
      <c r="M18" s="32">
        <f>(10^(G$8-G$10))/(1+(10^(G$8-G$10)))*1*J18</f>
        <v>8.8946714385075243</v>
      </c>
      <c r="N18" s="32">
        <f>L18-M18</f>
        <v>-1.190967734803821</v>
      </c>
      <c r="O18" s="32">
        <f>(N18*1)+J18*0.242*2</f>
        <v>3.3263655985295113</v>
      </c>
      <c r="P18" s="38">
        <f>(K18*2.486+J18*0.121)*2</f>
        <v>46.064834067547721</v>
      </c>
      <c r="Q18" s="38">
        <f>SUM(O18:P18)</f>
        <v>49.391199666077235</v>
      </c>
      <c r="R18" s="18"/>
      <c r="S18" s="39"/>
      <c r="AE18" s="24"/>
      <c r="AF18" s="24"/>
      <c r="AG18" s="24"/>
      <c r="AH18" s="24"/>
    </row>
    <row r="19" spans="1:34" x14ac:dyDescent="0.45">
      <c r="B19" s="42"/>
      <c r="C19" s="48" t="s">
        <v>30</v>
      </c>
      <c r="D19" s="34">
        <v>10000</v>
      </c>
      <c r="E19" s="34">
        <v>10.533333333333333</v>
      </c>
      <c r="F19" s="34">
        <v>4.1333333333333337</v>
      </c>
      <c r="G19" s="34">
        <v>2.8</v>
      </c>
      <c r="H19" s="35">
        <v>1.3133333333333332</v>
      </c>
      <c r="J19" s="31">
        <f t="shared" ref="J19:J20" si="0">(E19-G19)/D19*$G$6</f>
        <v>7.7333333333333334</v>
      </c>
      <c r="K19" s="32">
        <f t="shared" ref="K19:K20" si="1">((E19-F19)/0.908)/D19*$G$6</f>
        <v>7.0484581497797336</v>
      </c>
      <c r="L19" s="32">
        <f t="shared" ref="L19:L20" si="2">H19/G$9/D19*$G$6</f>
        <v>29.185185185185183</v>
      </c>
      <c r="M19" s="32">
        <f t="shared" ref="M19:M20" si="3">(10^(G$8-G$10))/(1+(10^(G$8-G$10)))*1*J19</f>
        <v>7.3698706204776645</v>
      </c>
      <c r="N19" s="32">
        <f>L19-M19</f>
        <v>21.815314564707521</v>
      </c>
      <c r="O19" s="32">
        <f t="shared" ref="O19:O20" si="4">(N19*1)+J19*0.167*2</f>
        <v>24.398247898040854</v>
      </c>
      <c r="P19" s="38">
        <f>(K19*2.486+J19*0.121)*2</f>
        <v>36.916400587371498</v>
      </c>
      <c r="Q19" s="38">
        <f t="shared" ref="Q19:Q20" si="5">SUM(O19:P19)</f>
        <v>61.314648485412349</v>
      </c>
    </row>
    <row r="20" spans="1:34" x14ac:dyDescent="0.45">
      <c r="B20" s="42"/>
      <c r="C20" s="48" t="s">
        <v>41</v>
      </c>
      <c r="D20" s="34">
        <v>10000</v>
      </c>
      <c r="E20" s="34">
        <v>4.1333333333333337</v>
      </c>
      <c r="F20" s="34">
        <v>4.1333333333333337</v>
      </c>
      <c r="G20" s="34">
        <v>2.8</v>
      </c>
      <c r="H20" s="35">
        <v>2.2800000000000002</v>
      </c>
      <c r="J20" s="31">
        <f t="shared" si="0"/>
        <v>1.3333333333333339</v>
      </c>
      <c r="K20" s="32">
        <f t="shared" si="1"/>
        <v>0</v>
      </c>
      <c r="L20" s="32">
        <f t="shared" si="2"/>
        <v>50.666666666666671</v>
      </c>
      <c r="M20" s="32">
        <f t="shared" si="3"/>
        <v>1.2706673483582185</v>
      </c>
      <c r="N20" s="32">
        <f>L20-M20</f>
        <v>49.395999318308455</v>
      </c>
      <c r="O20" s="32">
        <f t="shared" si="4"/>
        <v>49.841332651641785</v>
      </c>
      <c r="P20" s="38">
        <f>(K20*2.486+J20*0.121)*2</f>
        <v>0.32266666666666682</v>
      </c>
      <c r="Q20" s="38">
        <f t="shared" si="5"/>
        <v>50.163999318308456</v>
      </c>
    </row>
    <row r="21" spans="1:34" x14ac:dyDescent="0.45">
      <c r="B21" s="24"/>
      <c r="C21" s="24"/>
      <c r="D21" s="24"/>
      <c r="E21" s="24"/>
      <c r="F21" s="24"/>
      <c r="G21" s="24"/>
      <c r="H21" s="24"/>
    </row>
    <row r="22" spans="1:34" x14ac:dyDescent="0.45">
      <c r="B22"/>
      <c r="E22" t="s">
        <v>52</v>
      </c>
    </row>
    <row r="23" spans="1:34" x14ac:dyDescent="0.45">
      <c r="B23"/>
    </row>
    <row r="24" spans="1:34" x14ac:dyDescent="0.45">
      <c r="B24"/>
      <c r="E24" s="39"/>
      <c r="F24" s="39"/>
      <c r="G24" s="39"/>
      <c r="H24" s="39"/>
    </row>
    <row r="25" spans="1:34" x14ac:dyDescent="0.45">
      <c r="B25"/>
      <c r="E25" s="39"/>
      <c r="F25" s="39"/>
      <c r="G25" s="39"/>
      <c r="H25" s="39"/>
    </row>
    <row r="26" spans="1:34" x14ac:dyDescent="0.45">
      <c r="B26"/>
      <c r="E26" s="39"/>
      <c r="F26" s="39"/>
      <c r="G26" s="39"/>
      <c r="H26" s="39"/>
    </row>
    <row r="27" spans="1:34" s="43" customFormat="1" ht="41" customHeight="1" x14ac:dyDescent="0.4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34" x14ac:dyDescent="0.45">
      <c r="B28"/>
    </row>
    <row r="29" spans="1:34" x14ac:dyDescent="0.45">
      <c r="B29"/>
    </row>
    <row r="30" spans="1:34" x14ac:dyDescent="0.45">
      <c r="B30"/>
    </row>
    <row r="31" spans="1:34" x14ac:dyDescent="0.45">
      <c r="B31"/>
    </row>
    <row r="32" spans="1:34" x14ac:dyDescent="0.45">
      <c r="B32"/>
    </row>
    <row r="33" spans="2:34" x14ac:dyDescent="0.45">
      <c r="B33"/>
    </row>
    <row r="34" spans="2:34" x14ac:dyDescent="0.45">
      <c r="B34"/>
    </row>
    <row r="35" spans="2:34" x14ac:dyDescent="0.45">
      <c r="B35"/>
      <c r="AE35" s="24"/>
      <c r="AF35" s="24"/>
      <c r="AG35" s="24"/>
      <c r="AH35" s="24"/>
    </row>
    <row r="36" spans="2:34" x14ac:dyDescent="0.45">
      <c r="AE36" s="24"/>
      <c r="AF36" s="24"/>
      <c r="AG36" s="24"/>
      <c r="AH36" s="24"/>
    </row>
    <row r="37" spans="2:34" x14ac:dyDescent="0.45">
      <c r="AE37" s="24"/>
      <c r="AF37" s="24"/>
      <c r="AG37" s="24"/>
      <c r="AH37" s="24"/>
    </row>
    <row r="38" spans="2:34" x14ac:dyDescent="0.45">
      <c r="AE38" s="24"/>
      <c r="AF38" s="24"/>
      <c r="AG38" s="24"/>
      <c r="AH38" s="24"/>
    </row>
    <row r="39" spans="2:34" x14ac:dyDescent="0.45">
      <c r="AE39" s="24"/>
      <c r="AF39" s="24"/>
      <c r="AG39" s="24"/>
      <c r="AH39" s="24"/>
    </row>
    <row r="40" spans="2:34" x14ac:dyDescent="0.45">
      <c r="AE40" s="24"/>
      <c r="AF40" s="24"/>
      <c r="AG40" s="24"/>
      <c r="AH40" s="24"/>
    </row>
    <row r="41" spans="2:34" x14ac:dyDescent="0.45">
      <c r="AE41" s="24"/>
      <c r="AF41" s="24"/>
      <c r="AG41" s="24"/>
      <c r="AH41" s="24"/>
    </row>
    <row r="42" spans="2:34" x14ac:dyDescent="0.45">
      <c r="AE42" s="24"/>
      <c r="AF42" s="24"/>
      <c r="AG42" s="24"/>
      <c r="AH42" s="24"/>
    </row>
    <row r="43" spans="2:34" x14ac:dyDescent="0.45">
      <c r="AE43" s="24"/>
      <c r="AF43" s="24"/>
      <c r="AG43" s="24"/>
      <c r="AH43" s="24"/>
    </row>
    <row r="44" spans="2:34" x14ac:dyDescent="0.45">
      <c r="AE44" s="24"/>
      <c r="AF44" s="24"/>
      <c r="AG44" s="24"/>
      <c r="AH44" s="24"/>
    </row>
    <row r="45" spans="2:34" x14ac:dyDescent="0.45">
      <c r="AE45" s="24"/>
      <c r="AF45" s="24"/>
      <c r="AG45" s="24"/>
      <c r="AH45" s="24"/>
    </row>
    <row r="46" spans="2:34" x14ac:dyDescent="0.45">
      <c r="AE46" s="24"/>
      <c r="AF46" s="24"/>
      <c r="AG46" s="24"/>
      <c r="AH46" s="24"/>
    </row>
    <row r="47" spans="2:34" x14ac:dyDescent="0.45">
      <c r="AE47" s="24"/>
      <c r="AF47" s="24"/>
      <c r="AG47" s="24"/>
      <c r="AH47" s="24"/>
    </row>
    <row r="48" spans="2:34" x14ac:dyDescent="0.45">
      <c r="AE48" s="24"/>
      <c r="AF48" s="24"/>
      <c r="AG48" s="24"/>
      <c r="AH48" s="24"/>
    </row>
    <row r="49" spans="31:34" x14ac:dyDescent="0.45">
      <c r="AE49" s="24"/>
      <c r="AF49" s="24"/>
      <c r="AG49" s="24"/>
      <c r="AH49" s="24"/>
    </row>
    <row r="50" spans="31:34" x14ac:dyDescent="0.45">
      <c r="AE50" s="24"/>
      <c r="AF50" s="24"/>
      <c r="AG50" s="24"/>
      <c r="AH50" s="24"/>
    </row>
    <row r="51" spans="31:34" x14ac:dyDescent="0.45">
      <c r="AE51" s="24"/>
      <c r="AF51" s="24"/>
      <c r="AG51" s="24"/>
      <c r="AH51" s="24"/>
    </row>
    <row r="52" spans="31:34" x14ac:dyDescent="0.45">
      <c r="AE52" s="24"/>
      <c r="AF52" s="24"/>
      <c r="AG52" s="24"/>
      <c r="AH52" s="24"/>
    </row>
    <row r="53" spans="31:34" x14ac:dyDescent="0.45">
      <c r="AE53" s="24"/>
      <c r="AF53" s="24"/>
      <c r="AG53" s="24"/>
      <c r="AH53" s="24"/>
    </row>
    <row r="54" spans="31:34" x14ac:dyDescent="0.45">
      <c r="AE54" s="24"/>
      <c r="AF54" s="24"/>
      <c r="AG54" s="24"/>
      <c r="AH54" s="24"/>
    </row>
    <row r="55" spans="31:34" x14ac:dyDescent="0.45">
      <c r="AE55" s="24"/>
      <c r="AF55" s="24"/>
      <c r="AG55" s="24"/>
      <c r="AH55" s="24"/>
    </row>
    <row r="56" spans="31:34" x14ac:dyDescent="0.45">
      <c r="AE56" s="24"/>
      <c r="AF56" s="24"/>
      <c r="AG56" s="24"/>
      <c r="AH56" s="24"/>
    </row>
    <row r="57" spans="31:34" x14ac:dyDescent="0.45">
      <c r="AE57" s="24"/>
      <c r="AF57" s="24"/>
      <c r="AG57" s="24"/>
      <c r="AH57" s="24"/>
    </row>
    <row r="58" spans="31:34" x14ac:dyDescent="0.45">
      <c r="AE58" s="24"/>
      <c r="AF58" s="24"/>
      <c r="AG58" s="24"/>
      <c r="AH58" s="24"/>
    </row>
    <row r="59" spans="31:34" x14ac:dyDescent="0.45">
      <c r="AE59" s="24"/>
      <c r="AF59" s="24"/>
      <c r="AG59" s="24"/>
      <c r="AH59" s="24"/>
    </row>
    <row r="60" spans="31:34" x14ac:dyDescent="0.45">
      <c r="AE60" s="24"/>
      <c r="AF60" s="24"/>
      <c r="AG60" s="24"/>
      <c r="AH60" s="24"/>
    </row>
    <row r="61" spans="31:34" x14ac:dyDescent="0.45">
      <c r="AE61" s="24"/>
      <c r="AF61" s="24"/>
      <c r="AG61" s="24"/>
      <c r="AH61" s="24"/>
    </row>
    <row r="62" spans="31:34" x14ac:dyDescent="0.45">
      <c r="AE62" s="24"/>
      <c r="AF62" s="24"/>
      <c r="AG62" s="24"/>
      <c r="AH62" s="24"/>
    </row>
    <row r="63" spans="31:34" x14ac:dyDescent="0.45">
      <c r="AE63" s="24"/>
      <c r="AF63" s="24"/>
      <c r="AG63" s="24"/>
      <c r="AH63" s="24"/>
    </row>
    <row r="64" spans="31:34" x14ac:dyDescent="0.45">
      <c r="AE64" s="24"/>
      <c r="AF64" s="24"/>
      <c r="AG64" s="24"/>
      <c r="AH64" s="24"/>
    </row>
    <row r="65" spans="2:34" x14ac:dyDescent="0.45">
      <c r="AE65" s="24"/>
      <c r="AF65" s="24"/>
      <c r="AG65" s="24"/>
      <c r="AH65" s="24"/>
    </row>
    <row r="66" spans="2:34" x14ac:dyDescent="0.45">
      <c r="AE66" s="24"/>
      <c r="AF66" s="24"/>
      <c r="AG66" s="24"/>
      <c r="AH66" s="24"/>
    </row>
    <row r="67" spans="2:34" x14ac:dyDescent="0.45">
      <c r="AE67" s="24"/>
      <c r="AF67" s="24"/>
      <c r="AG67" s="24"/>
      <c r="AH67" s="24"/>
    </row>
    <row r="68" spans="2:34" x14ac:dyDescent="0.45">
      <c r="AE68" s="24"/>
      <c r="AF68" s="24"/>
      <c r="AG68" s="24"/>
      <c r="AH68" s="24"/>
    </row>
    <row r="69" spans="2:34" x14ac:dyDescent="0.45">
      <c r="AE69" s="24"/>
      <c r="AF69" s="24"/>
      <c r="AG69" s="24"/>
      <c r="AH69" s="24"/>
    </row>
    <row r="70" spans="2:34" x14ac:dyDescent="0.45">
      <c r="AE70" s="24"/>
      <c r="AF70" s="24"/>
      <c r="AG70" s="24"/>
      <c r="AH70" s="24"/>
    </row>
    <row r="71" spans="2:34" x14ac:dyDescent="0.45">
      <c r="B71"/>
      <c r="AE71" s="24"/>
      <c r="AF71" s="24"/>
      <c r="AG71" s="24"/>
      <c r="AH71" s="24"/>
    </row>
    <row r="72" spans="2:34" x14ac:dyDescent="0.45">
      <c r="B72"/>
      <c r="AE72" s="24"/>
      <c r="AF72" s="24"/>
      <c r="AG72" s="24"/>
      <c r="AH72" s="24"/>
    </row>
    <row r="73" spans="2:34" x14ac:dyDescent="0.45">
      <c r="B7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AE73" s="24"/>
      <c r="AF73" s="24"/>
      <c r="AG73" s="24"/>
      <c r="AH73" s="24"/>
    </row>
    <row r="74" spans="2:34" x14ac:dyDescent="0.45">
      <c r="B74"/>
      <c r="AE74" s="24"/>
      <c r="AF74" s="24"/>
      <c r="AG74" s="24"/>
      <c r="AH74" s="24"/>
    </row>
    <row r="75" spans="2:34" x14ac:dyDescent="0.45">
      <c r="B75"/>
    </row>
  </sheetData>
  <mergeCells count="4">
    <mergeCell ref="E16:G16"/>
    <mergeCell ref="J16:K16"/>
    <mergeCell ref="L16:N16"/>
    <mergeCell ref="O16:Q16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 (ug)</vt:lpstr>
      <vt:lpstr>Calculations (cell number)</vt:lpstr>
    </vt:vector>
  </TitlesOfParts>
  <Company>Touro University California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Shona Mookerjee</dc:creator>
  <cp:lastModifiedBy>Akos Gerencser</cp:lastModifiedBy>
  <dcterms:created xsi:type="dcterms:W3CDTF">2016-11-27T05:39:16Z</dcterms:created>
  <dcterms:modified xsi:type="dcterms:W3CDTF">2023-09-14T05:30:02Z</dcterms:modified>
</cp:coreProperties>
</file>